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unho 2019" sheetId="1" r:id="rId1"/>
  </sheets>
  <definedNames>
    <definedName name="_xlnm.Print_Area" localSheetId="0">'Junho 2019'!$A$1:$I$114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'Junho 2019'!$1:$4</definedName>
  </definedNames>
  <calcPr fullCalcOnLoad="1"/>
</workbook>
</file>

<file path=xl/sharedStrings.xml><?xml version="1.0" encoding="utf-8"?>
<sst xmlns="http://schemas.openxmlformats.org/spreadsheetml/2006/main" count="308" uniqueCount="233">
  <si>
    <t>2º Termo Aditivo 009/2017 - FUNDEB - 
Processo: 37.362/2016
Edital Chamamento: 006/2016</t>
  </si>
  <si>
    <t>2º Termo Aditivo  010/2017 - FUNDEB - 
Processo: 37.765/2016
Edital Chamamento: 013/2016</t>
  </si>
  <si>
    <t>repasse de recursos financeiros adicionais ao Termo de Colaboração n.º 010/2017, visando a continuidade da gestão do Programa Creche Comunitária no Bairro do Tanque, visando o atendimento de 30 (trinta) crianças em idade de 2 anos a 3 anos de idade, bem como sua prorrogação até 31/12/2019</t>
  </si>
  <si>
    <t>2º Termo Aditivo 
012/2017 - FUNDEB -
Processo: 37.357/2016
Edital Chamamento: 009/2016</t>
  </si>
  <si>
    <t>repasse de recursos financeiros adicionais ao Termo de Colaboração n.º 012/2017, para a continuidade da gestão do Programa Creche Comunitária no Bairro do Portão, visando o atendimento de 45 (quarenta e cinco) crianças em idade de 2 anos a 3 anos de idade bem como sua prorrogação até 31/12/2019</t>
  </si>
  <si>
    <t>2º Termo Aditivo 011/2017 - FUNDEB -
Processo: 37.368/2016 Edital Chamamento: 005/2016</t>
  </si>
  <si>
    <t>repasse de recursos financeiros adicionais ao Termo de Colaboração n.º 011/2017, visando a continuidade da gestão do Programa Creche Comunitária no Bairro Boa Vista, visando o atendimento de até 25 (vinte e cinco) crianças em idade de 2 anos a 3 anos de idade, bem como sua prorrogação até 31/12/2019.</t>
  </si>
  <si>
    <t>2º Termo Aditivo 
013/2017 - FUNDEB - 
Processo: 37.761/2016
Edital Chamamento: 012/2016</t>
  </si>
  <si>
    <t>repasse de recursos financeiros adicionais ao Termo de Colaboração n.º 013/2017, para a continuidade da gestão do Programa Creche Comunitária no Bairro Caetetuba, visando o atendimento de 213 (duzentos e treze) crianças em idade de 2 anos a 3 anos de idade bem como sua prorrogação até 31/12/2019</t>
  </si>
  <si>
    <t>2º Termo Aditivo 
014/2017 - FUNDEB -
Processo: 37.223/2016
Edital Chamamento: 004/2016</t>
  </si>
  <si>
    <t>repasse de recursos financeiros adicionais ao Termo de Colaboração n.º 014/2017, para continuidade da gestão do Programa Creche Comunitária no Bairro Maristela II, visando o atendimento de  35 (trinta e cinco) crianças em idade de 2 anos a 3 anos de idade, bem como sua prorrogação até 31/12/2019</t>
  </si>
  <si>
    <t>2º Termo Aditivo
015/2017 - FUNDEB - 
Processo: 37.363/2016
Edital Chamamento: 007/2016</t>
  </si>
  <si>
    <t>repasse de recursos financeiros adicionais ao Termo de Colaboração n.º 015/2017, para a continuidade da gestão do Programa Creche Comunitária no Bairro do Laranjal, visando o atendimento de até 50 (cinquenta) crianças em idade de 2 anos a 5 anos de idade bem como sua prorrogação até 31/12/2019</t>
  </si>
  <si>
    <t>2º Termo Aditivo
016/2017 - FUNDEB - 
Processo: 37.224/2016
Edital Chamamento: 001/2016</t>
  </si>
  <si>
    <t>repasse de recursos financeiros adicionais ao Termo de Colaboração n.º 016/2017, para a continuidade da gestão do Programa Creche Comunitária no Bairro do Tanque, visando o atendimento de até 35 (trinta e cinco) crianças em idade de 6 meses a 1 ano e 11 meses e 50 (cinquenta) crianças de 2 anos a 3 anos de idade, totalizando 85 (oitenta e cinco) crianças, bem como sua prorrogação até 31/12/2019</t>
  </si>
  <si>
    <t>2º Termo Aditivo
051/2017 - Processo: 41.328/2016
Edital de Chamamento: 001/2016 - Abrigo Animal</t>
  </si>
  <si>
    <t>repasse de recursos financeiros adicionais ao Termo de Colaboração n.º 051/2017, para a continuidade da Gestão de Abrigos de Animais em Sofrimento no Município de Atibaia, bem como sua prorrogação até 28/02/2019</t>
  </si>
  <si>
    <t>2º Termo Aditivo
022/2017 - FUNDEB - 
Processo: 37.359/2016
Edital Chamamento: 002/2016</t>
  </si>
  <si>
    <t>repasse de recursos financeiros adicionais ao Termo de Colaboração n.º 022/2017, visando a continuidade da gestão do Programa Creche Comunitária no Bairro Jardim Cerejeiras, visando o atendimento de 60 (sessenta) crianças em idade de 2 anos a 3 anos de idade, bem como sua prorrogação até 31/12/2019</t>
  </si>
  <si>
    <t>repasse de recursos financeiros adicionais ao Termo de Colaboração n.º 021/2017, para a continuidade da gestão do Programa Creche Comunitária na região central, visando o atendimento de 30 (trinta) crianças em idade de 2 anos a 3 anos de idade bem como sua prorrogação até 31/12/2019</t>
  </si>
  <si>
    <t>2º Termo Aditivo
021/2017 - FUNDEB - 
Processo: 37.354/2016
Edital Chamamento: 010/2016</t>
  </si>
  <si>
    <t>2º Termo Aditivo
020/2017 - FUNDEB -
Processo: 37.361/2016
Edital Chamamento: 003/2016</t>
  </si>
  <si>
    <t>repasse de recursos financeiros adicionais ao Termo de Colaboração n.º 020/2017, para continuidade da gestão do Programa Creche Comunitária no Bairro Jardim Colonial, visando o atendimento de 40 (quarenta) crianças em idade de 6 meses a 1 ano e 11 meses e 24 (vinte e quatro) crianças de 2 anos a 3 anos de idade, totalizando 64 (sessenta e quatro) crianças, bem como sua prorrogação até 31/12/2019</t>
  </si>
  <si>
    <t>2º Termo Aditivo 
019/2017 - FUNDEB - 
Processo: 37.367/2016
Edital Chamamento: 011/2016</t>
  </si>
  <si>
    <t>repasse de recursos financeiros adicionais ao Termo de Colaboração n.º 019/2017, para a continuidade da gestão do Programa Creche Comunitária na região central, visando o atendimento de 160 (cento e sessenta) crianças em idade de 6 meses a 3 anos de idade, na primeira etapa da Educação Básica, em período integral, bem como sua prorrogação até 31/12/2019</t>
  </si>
  <si>
    <t>3º Termo Aditivo
030/2017 - FUNDEB - 
Processo: 37.365/2016
Edital Chamamento: 008/2016</t>
  </si>
  <si>
    <t xml:space="preserve"> repasse de recursos financeiros adicionais ao Termo de Colaboração n.º 030/2017, para continuidade da gestão do Programa Creche Comunitária no Bairro Itapetinga, visando o atendimento de 18 (dezoito) crianças em idade de 6 meses a 1 ano e 11 meses, e 88 (oitenta e oito) crianças de 2 anos a 5 anos de idade, totalizando 106 (cento e seis) crianças, bem como sua prorrogação até 31/12/2019
</t>
  </si>
  <si>
    <t>2º Termo Aditivo - 047/2017 - Processo: 
6697/2017
Edital de Chamamento: 
002/2017 - SMCE</t>
  </si>
  <si>
    <t>repasse de recursos financeiros adicionais ao Termo de Colaboração nº 047/2017, visando a continuidade do Programa “Educando com Música e Cidadania”, bem como a sua prorrogação até 31/12/2019</t>
  </si>
  <si>
    <t>Associação dos Moradores e amigos do Jardim Maristela II - AMAM II - CNPJ 07.871.604/0001-52</t>
  </si>
  <si>
    <t>Rua cinco, 300, Jardim Maristela II - Atibaia/SP</t>
  </si>
  <si>
    <t>Associação de Moradores e Amigos do Bairro do Tanque – CNPJ 04.792.846/0001-62</t>
  </si>
  <si>
    <t>Rua Cristiano Krisberi, 173, Jardim Paraíso – Bairro do Tanque – Atibaia/SP</t>
  </si>
  <si>
    <t>AMICRI - Associação Amigos da Criança de Atibaia - CNPJ 00.644.883/0001-72</t>
  </si>
  <si>
    <t>Rua Sebastião Cesar, 118, Parque dos Coqueiros - Atibaia/SP</t>
  </si>
  <si>
    <t>Executar o Projeto “Orgulho de Ser”, visando a gestão dos Serviços de Convívio e Fortalecimento de Vínculos para faixa etária de 18 a 59 anos e Idosos, de ambos os sexos.</t>
  </si>
  <si>
    <t>1º Termo Aditivo  002/2017 - SADS - Processo: 36.518/2016
Edital Chamamento: 016/2016</t>
  </si>
  <si>
    <t>Executar o Projeto “Conviver e Fortalecer”, visando a gestão do Serviço de Convívio e Fortalecimento de Vínculos, complementando as ações da família e da comunidade, estimulando e fortalecendo o convívio grupal e comunitário e a participação na vida pública favorecendo o protagonismo social, de 80 usuários jovens, adultos e idosos da região de abrangência do CRAS Tanque e Bairros Boa Vista e Cachoeira.</t>
  </si>
  <si>
    <t>1º Termo Aditivo  006/2017 - SADS -
Processo: 36.519/2016
Edital Chamamento: 015/2016</t>
  </si>
  <si>
    <t>Executar o Projeto “Curumim - Estação Cidadania”, Serviço de Proteção Social Básica e Atendimento Integral à Família, Serviço de Convivência e Fortalecimento de Vínculos, para atendimento de 60 (sessenta) crianças e adolescentes de 06 a 17 anos de idade, de ambos os sexos.</t>
  </si>
  <si>
    <t>1º Termo Aditivo 
017/2017 - SADS - 
Processo: 36.510/2016
Edital Chamamento: 012/2016</t>
  </si>
  <si>
    <t>Executar o Projeto “Arte e Cultura em Movimento”, visando a gestão do Serviço de Convívio e Fortalecimento de Vínculos familiares e sociais, prevenindo a ocorrência de situações de riscos sociais de crianças e adolescentes, faixa etária de 06 a 17 anos, preferencialmente às famílias beneficiárias de programas de transferência de renda, contribuindo para o empoderamento do público referenciado no CRAS Tanque, correspondendo aos bairros, Boa Vista,  Cachoeira, Chácaras Fernão Dias, Esmeralda e Tanque</t>
  </si>
  <si>
    <t>1º Termo Aditivo 001/2017 - SADS -
Processo: 36.517/2016
Edital Chamamento: 010/2016</t>
  </si>
  <si>
    <t>1º Termo Aditivo
023/2017 - SADS - 
Processo: 36.514/2016
Edital Chamamento: 013/2016</t>
  </si>
  <si>
    <t>1º Termo Aditivo
024/2017 - SADS - 
Processo: 36.516/2016
Edital Chamamento: 014/2016</t>
  </si>
  <si>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</si>
  <si>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</si>
  <si>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</si>
  <si>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</si>
  <si>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</si>
  <si>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</si>
  <si>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</si>
  <si>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</si>
  <si>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Fraternidade Universal Projeto Curumim – CNPJ 00.938.214/0001-03</t>
  </si>
  <si>
    <t>Praça Antônio Scavone, s/nº – Caetetuba, Atibaia/SP</t>
  </si>
  <si>
    <t>Fundação Grande Harmonia CNPJ: 05.158.273/0002-63</t>
  </si>
  <si>
    <t>Rua Esper Elias Zaca, 21, Casas Populares - Atibaia/SP</t>
  </si>
  <si>
    <t>Associação de Pais e Amigos dos Excepcionais de Atibaia – APAE             CNPJ 47.952.825/0001-70</t>
  </si>
  <si>
    <t>Espaço Crescer – Livre Criatividade CNPJ 04.226.574/0001-33</t>
  </si>
  <si>
    <t>Missão Evangélica Rohi M'Kadesh – CNPJ 03.440.315/0001-48</t>
  </si>
  <si>
    <t>Associação Espírita Beneficente e Educacional Casa do Caminho - CNPJ 86.790.268/0001-90</t>
  </si>
  <si>
    <t>União dos Amigos dos Bairros do Itapetinga – UABI – CNPJ 00.983.589/001-95</t>
  </si>
  <si>
    <t>Mater Dei - CAM - Casa de Apoio à Menina - CNPJ 03.951.901/0001-57</t>
  </si>
  <si>
    <t>VALOR GLOBAL</t>
  </si>
  <si>
    <t>Praça Papa João Paulo, II, 25, Vila Nova Aclimação - Atibaia/SP</t>
  </si>
  <si>
    <t>Avenida São João, 557, Centro - Atibaia/SP</t>
  </si>
  <si>
    <t>Rua das Camélias, 520, Chácara Fernão Dias, Atibaia/SP</t>
  </si>
  <si>
    <t>Estrada dos Perines, 230, Boa Vista - Atibaia/SP</t>
  </si>
  <si>
    <t xml:space="preserve">Avenida Santana, 2.267, Itapetinga - Atibaia/SP </t>
  </si>
  <si>
    <t>Praça João Paulo II, 65, Atibaia Jardim - Atibaia/SP</t>
  </si>
  <si>
    <t>Termo de Colaboração</t>
  </si>
  <si>
    <t>Executar o Projeto “Reconstruindo Valores e Identidade”, para gestão do Serviço de Proteção Social Básica, Serviço de Convivência e Fortalecimento de Vínculos, visando o atendimento de crianças e adolescente na faixa etária de 06 a 17 anos, para região do CRAS Caetetuba, Residencial Jeronimo I e II.</t>
  </si>
  <si>
    <t>Associação de Serviços Assistenciais de Atibaia - ASA - CNPJ 44.707.206/0001-21</t>
  </si>
  <si>
    <t>Avenida Carlos A C Pinto, n.º130, Centro - Atibaia/SP</t>
  </si>
  <si>
    <t>Executar o Projeto “Recriar - Imperial em Ação”, visando a gestão dos Serviços de Convívio e Fortalecimento de Vínculos para faixa etária de 06 a 17  anos, para região do CRAS Imperial, prioritariamente a famílias beneficiárias de programas de transferência de renda, com vivência de violência e/ou negligência, proporcionando encontros e oficinas socioeducativas que ampliem o universo informacional, cultural e social de crianças e adolescentes.</t>
  </si>
  <si>
    <t>Executar o Projeto “Recriar – Portão em Ação”, visando organizar Serviços de Convívio e Fortalecimento de Vínculos (SCFV) que proporcione encontros e oficinas socioeducativas que ampliem o universo informacional, cultural e social de crianças e adolescentes - Proteção Social Básica - Serviço de Convivência e Fortalecimento de Vínculos.</t>
  </si>
  <si>
    <t>Praça Papa João Paulo II, 65, Atibaia Jardim - Atibaia/SP</t>
  </si>
  <si>
    <t>Associação Paulo Alvim de Judô Atibaia - APAJA 
CNPJ 07.547.005/0001-88</t>
  </si>
  <si>
    <t>Avenida Clóvis Soares, nº625, Alvinópolis, Atibaia - SP</t>
  </si>
  <si>
    <t>Associação Hércio Teofilo de Jiu Jitsu - Atibaia
CNPJ 15.372.962/0001-49</t>
  </si>
  <si>
    <t>Praça Vinte e quatro de junho, nº173, Alvinópolis - Atibaia - SP</t>
  </si>
  <si>
    <t>Associação Paradesportistas de Atibaia - APA
CNPJ 11.846.291/0001-50</t>
  </si>
  <si>
    <t>Rua Diamantina, nº211, Jardim Imperial, Atibaia - SP</t>
  </si>
  <si>
    <t>Associação Desportiva Atibaiense - ADA
CNPJ 51.913.770/0001-66</t>
  </si>
  <si>
    <t>Av. Horácio Neto, nº1061, Parque Samambaia, Atibaia - SP</t>
  </si>
  <si>
    <t>Associação de Pais e Amigos da Fanfarra Municipal de Atibaia
CNPJ 07.712.462/0001-80</t>
  </si>
  <si>
    <t>Av. Joviano Alvim, 1322, Atibaia Jardim, Atibaia - SP</t>
  </si>
  <si>
    <t>Organização Não Governamental de Abrigo, Proteção, Auxílio e Tratamento de Animais em Sofrimento</t>
  </si>
  <si>
    <t>Estrada Bragança Paulista, nº585, Bairro do Tanque - Atibaia - SP</t>
  </si>
  <si>
    <t>ACA – Associação dos Capoeiristas de Atibaia</t>
  </si>
  <si>
    <t>Rua João Batista Conti, n.º805, Bairro Alvinópolis - Atibaia - SP</t>
  </si>
  <si>
    <t>Associação da Estação Maracanã - CNPJ: 08.979.275/0001-20</t>
  </si>
  <si>
    <t>Rua João Neto, nº405, Jardim Maracanã - Atibaia/SP</t>
  </si>
  <si>
    <t>Irmandade de Misericórdia de Atibaia  - CNPJ: 44.510.485/0001-39</t>
  </si>
  <si>
    <t>Praça Dr. Miguel Vairo s/nº - Atibaia/ SP</t>
  </si>
  <si>
    <t>repasse de recursos de subvenção, para o desenvolvimento de ações e serviços destinados a assistência integral à saúde da comunidade, através da Santa Casa de Atibaia</t>
  </si>
  <si>
    <t>Associação dos Produtores de Morango e Hortifruti de Atibaia, Jarinu e Região - CNPJ:  54.144.894/0001-12</t>
  </si>
  <si>
    <t>Estrada Municipal do Campo dos Aleixos, s/n.º, Campo dos Aleixos</t>
  </si>
  <si>
    <t>1º Termo Aditivo - 018/2017 - SADS -
Processo: 36.506/2016
Edital Chamamento: 011/2016</t>
  </si>
  <si>
    <t>Associação dos Moradores dos Bairros Jardim São Felipe, Jardim Ciliar e Jardim Santo Antonio - CNPJ 59.018.135/0001-27</t>
  </si>
  <si>
    <t>Rua Anna  Mathias Vairo, s/n, Jardim São Felipe – Atibaia/SP</t>
  </si>
  <si>
    <t>Associação dos Produtores de Morango e Hortifruti de Atibaia/Jarinu e Região – CNPJ 54.144.894/0001-12</t>
  </si>
  <si>
    <t>Estrada Municipal do Campo dos Aleixos, s/n - Campo dos Aleixos - Atibaia/SP</t>
  </si>
  <si>
    <t>Associação Centro Comunitário do Bairro do Boa Vista – CNPJ 51.867.240/0001-29</t>
  </si>
  <si>
    <t>Estrada Juca Sanches, S/N, Km 11, Bairro da Boa Vista  – Atibaia/SP</t>
  </si>
  <si>
    <t>Associação Carmelitas de São José - CNPJ: 04.178.469/0001-76</t>
  </si>
  <si>
    <t>Rod. Fernão Dias, km 51, Bairro do Portão - Atibaia/SP</t>
  </si>
  <si>
    <t>Instituto Social Educativo e Beneficente Novo Signo CNPJ 78.636.974/0009-00</t>
  </si>
  <si>
    <t>Rua Avelino Antonio de Campos, 225, Bairro Caetetuba - Atibaia/SP</t>
  </si>
  <si>
    <t>VALORES REPASSADOS DURANTE O EXERCÍCIO DE 2019</t>
  </si>
  <si>
    <t>1º Termo Aditivo 001/2018 - Coord. Especial da Mulher -
Processo: 26.575/2017
Edital Chamamento: 002/2017</t>
  </si>
  <si>
    <t>2º termo Aditivo 003/2018 - SADS - Processo: 28.043/2017
Edital de Chamamento: 002/2017</t>
  </si>
  <si>
    <t>3º Termo Aditivo 004/2018 - SADS - Processo: 28.039/2017
Edital de Chamamento: 001/2017</t>
  </si>
  <si>
    <t xml:space="preserve">repasse de recursos financeiros adicionais ao Termo de Colaboração n.º 003/2018, para continuidade da gestão do Programa Residência Inclusiva, visando o  Acolhimento Institucional para Jovens e Adultos, para acolher e ofertar, de forma qualificada, a Proteção Integral de Jovens e Adultos com Deficiência, em situação de dependência sem vínculos parentais, conforme Plano de Trabalho, bem como sua prorrogação até 31/12/2019 </t>
  </si>
  <si>
    <t>repasse de recursos financeiros adicionais ao Termo de Colaboração nº 004/2018, para continuidade do Programa Vem Ser, visando a gestão de uma Unidade Institucional de Acolhimento em Casa de Passagem para pessoas em situação de rua, acima de 18 anos, de ambos os sexos, de forma humanizada e com orientação para reinserção na família, sociedade e trabalho, e o serviço de abordagem de rua que deverá funcionar 180 horas semanais, utilizando para este mister em cooperação a Kombi, placas CPV 6947, patrimônio nº 21507, ano de fabricação 2000, bem como sua prorrogação até 31/12/2019</t>
  </si>
  <si>
    <t>repasse de recursos financeiros adicionais ao Termo de Colaboração n.º 001/2018 para continuidade do Programa Bem Estar Mulher – Desenvolvimento de Atendimento do Centro de Referência da Mulher – CRM, destinado ao atendimento à mulher em situação de violência de gênero e desenvolvimento de ações preventivas, bem como sua prorrogação até 31/12/2019</t>
  </si>
  <si>
    <t>001/2019 - SAUDE - Processo: 39.804/2018</t>
  </si>
  <si>
    <t>1º Termo Aditivo 006/2018 - Agricultura - Processo: 34.658/2017
Edital Chamamento: 001/2017 – S A</t>
  </si>
  <si>
    <t>repasse de recursos financeiros adicionais ao Termo de Colaboração n.º 006/2018, para continuidade do Programa de Revitalização da Cultura do Morango, Programa de Incentivo à Agricultura Familiar e o Programa Atibaia Florida, visando fomentar a agricultura no município, prestando serviços de mecanização agrícola, assistência técnica, fornecimento de mudas aos agricultores e ao município e serviço de plantio e manutenção de canteiros de praças e avenidas, bem como sua prorrogação até 31/12/2019</t>
  </si>
  <si>
    <t>3º Termo Aditivo 003/2017 - SADS - 
Processo: 36.511/2016
Edital Chamamento: 001/2016</t>
  </si>
  <si>
    <t>repasse de recursos financeiros adicionais ao Termo de Colaboração nº 003/2017, para continuidade do Projeto “Centro de Apoio à Criança Ninho de Luz- CAC, ”, visando a gestão de uma unidade institucional para crianças e adolescentes de zero a dezoito anos incompletos, de ambos os sexos, inclusive com deficiência quando houver demanda, sob medida de proteção (art. 98 - ECA), para até 20 (vinte) crianças e adolescentes, em risco pessoal e social, residentes exclusivamente no município de Atibaia, em caráter provisório e excepcional, em regime ininterrupto de 24 horas, bem como sua prorrogação até 31/12/2019</t>
  </si>
  <si>
    <t>2º Termo Aditivo 
007/2017 - SADS - 
Processo: 36.520/2016
Edital Chamamento: 008/2016</t>
  </si>
  <si>
    <t>Repasse de recursos financeiros adicionais ao Termo de Colaboração nº 007/2017, para continuidade do Projeto de Escuta Qualificada e Proteção a Crianças e Adolescentes Vítimas de Violência Sexual, bem como acompanhamento pscicossocial, bem como sua prorrogação até 31/12/2019</t>
  </si>
  <si>
    <t>repasse de recursos financeiros adicionais ao Termo de Colaboração n.º 009/2017, para a continuidade da gestão do Programa Creche Comunitária no Bairro Jardim São Felipe, visando o atendimento de até 37 (trinta e sete) crianças em idade de 2 anos a 3 anos de idade bem como sua prorrogação até 31/12/2019</t>
  </si>
  <si>
    <t>3º Termo Aditivo
049/2017 - Processo: 7374/2017
Edital de Chamamento: 
004/2017 Projeto Taekwondo</t>
  </si>
  <si>
    <t>repasse de recursos financeiros adicionais ao Termo de Colaboração n.º 049/2017, para continuidade da gestão do Projeto Taekwondo, que visa difundir o  Taekwondo nos bairros da cidade de Atibaia, para aproximadamente 400 crianças e adolescentes de 7 a 17 anos de idade, fazendo com que tenham o conhecimento da modalidade, aprendendo os valores, fundamento, regras de convivência em grupo, visando ampliar o desenvolvimento físico e psicológico dos alunos através da prática esportiva, desenvolver, junto aos alunos, o prazer pelo esporte, aprimorar a cooperação, a união e companheirismo dos mesmos como membros de um grupo, bem como sua prorrogação até 31/12/2019</t>
  </si>
  <si>
    <t>3º Termo Aditivo
045/2017 - Processo: 7384/2017
Edital de Chamamento: 
005/2017 Projeto Esporte Especial</t>
  </si>
  <si>
    <t>repasse de recursos financeiros adicionais ao Termo de Colaboração n.º 045/2017, para continuidade da gestão do Projeto Especial Atletismo e Natação, visando oportunizar a prática da modalidade esportiva de natação e atletismo para pessoas com deficiência (física, visual e intelectual), bem como sua prorrogação até 31/12/2019</t>
  </si>
  <si>
    <t>3º Termo Aditivo
046/2017 - Processo: 7393/2017
Edital de Chamamento:
006/2017 Projeto Handebol</t>
  </si>
  <si>
    <t>repasse de recursos financeiros adicionais ao Termo de Colaboração n.º 046/2017, para continuidade da gestão do Projeto Handebol em Ação, visando proporcionar, através do Handebol, atividades sócio-educativas para ambos os gêneros com faixa etária a partir de 11 anos, bem como sua prorrogação até 31/12/2019</t>
  </si>
  <si>
    <t xml:space="preserve">3º Termo Aditivo
043/2017 - Processo: 7394/2017 
Edital de Chamamento: 001/2017 - Projeto Judô </t>
  </si>
  <si>
    <t>repasse de recursos financeiros adicionais ao Termo de Colaboração n.º 043/2017, para continuidade da gestão do Projeto Judô, promovendo o acesso à Modalidade de Judô a 800 beneficiados, em especial a crianças e adolescentes entre 06 e 17 anos, além do incentivo ao lazer, à cultura e à saúde, por meio de atividades esportivas educacionais, no contra turno escolar, auxiliando no processo de erradicação da vulnerabilidade social e de emancipação de crianças e jovens como cidadão crítico e atuante, bem como sua prorrogação até 31/12/2019</t>
  </si>
  <si>
    <t>Associação Desportiva Brasinha - CNPJ  16.701.771/0001-46</t>
  </si>
  <si>
    <t>Avenida Maria Alvim Soares nº991, Jardim Alvinópolis - Atibaia/ SP</t>
  </si>
  <si>
    <t>1º Termo Aditivo 026/2018 - Esporte Processo: 34.120/2017
Edital de Chamamento: 002/2018</t>
  </si>
  <si>
    <t>repasse de recursos financeiros adicionais ao Termo de Colaboração n.º 026/2018, para continuidade da gestão do Projeto Futebol e Futsal na cidade de Atibaia visando a formação física esportiva, moral, social , afetiva e solidária de, no mínimo, 500 (quinhentas) crianças, jovens e adolescentes na faixa etária de 06 a 17 anos, no contra turno escolar, bem como sua prorrogação até 31/12/2019</t>
  </si>
  <si>
    <t>3º Termo Aditivo
044/2017 - Processo: 7390/2017 
Edital de Chamamento: 002/2017 Projeto Jiu Jitsu</t>
  </si>
  <si>
    <t>repasse de recursos financeiros adicionais ao Termo de Colaboração n.º 044/2017, para continuidade da gestão do Projeto Jiu Jitsu, visando o atendimento e a integração de crianças e jovens, na faixa etária de 06 a 17 anos, por meio do Jiu Jitsu, em contraturno escolar, bem como sua prorrogação até 31/12/2019</t>
  </si>
  <si>
    <t>2º Termo Aditivo
053/2017- Processo: 7392/2017
Edital de Chamamento: 012/2017 - Projeto de Capoeira</t>
  </si>
  <si>
    <t>repasse de recursos financeiros adicionais ao Termo de Colaboração n.º 053/2017, visando a continuidade da gestão do Projeto de Capoeira, destinado ao atendimento das crianças e jovens do município de Atibaia, no período de contraturno escolar, bem como sua prorrogação até 31/12/2019</t>
  </si>
  <si>
    <t>029/2018 - SADS
Processo: 39.750/2017
Edital Chamamento: 010/2018</t>
  </si>
  <si>
    <t>05 meses</t>
  </si>
  <si>
    <t>Execução de Projeto referente à
“Inclusão digital de crianças e adolescentes do Bairro Chácaras Fernão
Dias e Bairro Esmeralda”</t>
  </si>
  <si>
    <t>Associação Beneficente Viva Vida 
 CNPJ: 09.387.897/0001-22</t>
  </si>
  <si>
    <t>Rua Tales de Mileto, 235, Cidade A. E Carvalho, São Paulo/SP</t>
  </si>
  <si>
    <t>1º Termo Aditivo 014/2018 - C. Especial IDOSO - Processo: ° 38.086/2017
 Edital chamamento: 001/2017</t>
  </si>
  <si>
    <t>repasse de recursos financeiros adicionais ao Termo de Colaboração n.º 014/2018, para a continuidade da gestão do Programa Envelhecimento Ativo, visando proporcionar atividades que permitam que os idosos a partir de 60 anos de idade envelheçam com qualidade de vida, assegurando seus direitos individuais e sociais, estimulando-os a educação, cultura, esporte, lazer, saúde, participação social, inclusão social e digital, bem como sua prorrogação até 31/03/2019</t>
  </si>
  <si>
    <t>030/2018 - SADS
Processo: 39.751/2017
Edital Chamamento: 011/2018</t>
  </si>
  <si>
    <t>12 meses</t>
  </si>
  <si>
    <t>031/2018 - SADS
Processo: 43.078/2017
Edital Chamamento: 012/2018</t>
  </si>
  <si>
    <t>12  meses</t>
  </si>
  <si>
    <t>Execução de Projeto
visando ações de proteção, defesa e garantia de direitos de crianças e adolescentes no combate ao “Bullying, violência psicológica contra crianças e adolescentes”</t>
  </si>
  <si>
    <t>007/2019 - SADS - Processo: 37.412/2018 dispensa de chamamento: 002/2018</t>
  </si>
  <si>
    <t>006/2019 - SADS - Processo: 37.411/2018 dispensa de chamamento: 001/2018</t>
  </si>
  <si>
    <t>Acolhimento provisorio e excepcional a crianças e adolescentes de ambos os sexos, inclusive com deficiencia, de 0 a 18 anos incompletos, para 20 vagas para crianças e adolescente</t>
  </si>
  <si>
    <t>Atendimento a 135 educandos com necessidades especiais</t>
  </si>
  <si>
    <t>010/2019 - SADS - Processo: 37.412/2018 dispensa de chamamento: 002/2018</t>
  </si>
  <si>
    <t>012/2019 - SADS - Processo: 35.156/2018 chamamento: 034/2018</t>
  </si>
  <si>
    <t>Serviço de convivência e fortalecimento de vínculos de adolescentes, jovens, adultos e idosos na regiao do CRAS do bairro Caetetuba</t>
  </si>
  <si>
    <t>009/2019 - SADS - Processo: 35.155/2018  chamamento: 033/2018</t>
  </si>
  <si>
    <t>Serviço de convivência e fortalecimento de vínculos para crianças e adolescentes de 06  a1 5 anos, adolescentes de 15 a 17 anos, jovens e adultos entre 18 e 59 anos e idosos acima de 60 anos para ser executado na regiao do CRAS - bairro do Portão</t>
  </si>
  <si>
    <t>008/2019 - SADS - Processo: 35.153/2018  chamamento: 032/2018</t>
  </si>
  <si>
    <t>Serviço de convivência e fortalecimento de vínculos para crianças e adolescentes de 06  a1 5 anos, adolescentes de 15 a 17 anos, jovens e adultos entre 18 e 59 anos e idosos acima de 60 anos para ser executado na regiao do CRAS - bairro do Imperial</t>
  </si>
  <si>
    <t>005/2019 - SADS - Processo: 35.152/2018 chamamento: 031/2018</t>
  </si>
  <si>
    <t>Espaço Crescer – Livre Criatividade - CNPJ: 04.226.574/0001-33</t>
  </si>
  <si>
    <t>Rua das Camélias, nº520, Chácara Fernão Dias</t>
  </si>
  <si>
    <t>Serviço de convivência e fortalecimento de vinculos para crianças e adolescentes de 06  a 15 anos, adolescentes de 15 a 17 anos, jovens e adultos entre 18 e 59 anos e idosos acima de 60 anos, para ser executado na regiao do CRAS bairro do Tanque</t>
  </si>
  <si>
    <t>004/2019 - SADS - Processo: 29.572/2018 chamamento: 030/2018</t>
  </si>
  <si>
    <t xml:space="preserve">Serviço de proteção especial para pessoas com deficiencia </t>
  </si>
  <si>
    <t>Lar São Vicente de Paulo CNPJ 54.344.775/0001-03</t>
  </si>
  <si>
    <t>Rua São Miguel, 480, Centro - Piracaia/SP</t>
  </si>
  <si>
    <t>003/2019 - SADS - Processo: 29.565/2018 chamamento: 016/2018</t>
  </si>
  <si>
    <t>Acolhimento destinado a idosos com 60 anos ou mais, de ambos os sexos, independentes e/ou com grau de dependencia I e II</t>
  </si>
  <si>
    <t>002/2019 - SADS - Processo: 30.797/2018 chamamento: 020/2018</t>
  </si>
  <si>
    <t>011/2019 - ESPORTE Processo: 28.988/2018 chamamento: 023/2018</t>
  </si>
  <si>
    <t>Associação Desportiva Atibaiense - ADA CNPJ: 51.913.770/0001-66</t>
  </si>
  <si>
    <t>Av. Horácio Neto, nº1061, Parque Samambaia</t>
  </si>
  <si>
    <t>Execução do projeto na modalidade escola de esportes (atletismo, ballet, pilates, ciclismo, rugby, futebol americano, hidro pilates, ginastica artistica, xadrez e tai chi chuan</t>
  </si>
  <si>
    <t>Gestão do Centro Dia do Idoso e proporcionar cuidado para até 50 idosos fragilizados semi-dependentes, com idade igual ou superior a 60 anos, que não tenham condições de permanecerem sozinhos nos domicílios, cuja condição requeira o auxílio de pessoas para a realização de atividades da vida diária diurna.</t>
  </si>
  <si>
    <t>1º Termo aditivo ao 019/2018 - Coord. Especial Idoso. 
Processo: 1161/2018 Edital de Chamamento: 1/18</t>
  </si>
  <si>
    <t>Execução de PROJETO Partituras da Alegria
referente à “Inclusão social de crianças e adolescentes com necessidades especiais- deficiência intelectual e múltipla e/ou com transtornos globais
do desenvolvimento, associados à deficiência intelectual que necessitam de apoio extensivo/ generalizado”</t>
  </si>
  <si>
    <t>Associação Esportiva de Atibaia - CNPJ: 06.117.184/0001-50</t>
  </si>
  <si>
    <t>Rua José Alvim, 42, sala 13 - Atibaia/SP</t>
  </si>
  <si>
    <t>Projeto de ginástica rítmica para oferecer acesso a mobilidade, crescimento e aperfeiçoamento nas catergorias infantil, juvenil e adulto</t>
  </si>
  <si>
    <t>Termo de Parceria - 020/2019 - Esporte 
Processo: 33.382/2018 - OSCIP</t>
  </si>
  <si>
    <t>Termo de Parceria - 019/2019 - Esporte 
Processo: 28.997/2018 - Concurso de Projetos: 01/2017 - oscip</t>
  </si>
  <si>
    <t>Projeto Basquetebol para prática esportiva a crianças, adolescentes de 06 a 17 anos</t>
  </si>
  <si>
    <t>017/2019 - Educação
Processo: 34.028/2018 - Chamamento nº 028/2018</t>
  </si>
  <si>
    <t>Programa Melhoria da Educação na Unidade escolar do Polo II  - Prof Rosiris Maria Andreucci e Prof Serafina de Luca Cherfen</t>
  </si>
  <si>
    <t>018/2019 - Educação
Processo: 34.030/2018 - Chamamento nº 029/2018</t>
  </si>
  <si>
    <t>Programa Melhoria da Educação na Unidade escolar do Polo I  - Waldemar Bastos Buhler e Pedro Alcantara Santos Silva</t>
  </si>
  <si>
    <t>013/2019 - Educação
Processo: 34.021/2018 - Chamamento nº 024/2018</t>
  </si>
  <si>
    <t>Espaço Crescer Livre Criatividade - CNPJ 04.226.574/0001-33</t>
  </si>
  <si>
    <t>Programa Melhoria da Educação na Unidade escolar do Polo VI  - EM Walda Paolinetti Lozasso</t>
  </si>
  <si>
    <t>016/2019 - Educação
Processo: 34.0272018 - Chamamento nº 027/2018</t>
  </si>
  <si>
    <t>Programa Melhoria da Educação na Unidade escolar do Polo III  - EM Prefeito Walter Engracia de Oliveira, EM Padre Armando Tamassia e EM Therezinha do Menino Jesus Sirera</t>
  </si>
  <si>
    <t>015/2019 - Educação
Processo: 34.025/2018 - Chamamento nº 026/2018</t>
  </si>
  <si>
    <t xml:space="preserve">Programa Melhoria da Educação na Unidade escolar do Polo IV  - EM Eva Cordula Hauer Vallejo </t>
  </si>
  <si>
    <t>014/2019 - Educação
Processo: 34.024/2018 - Chamamento nº 025/2018</t>
  </si>
  <si>
    <t>Programa Melhoria da Educação na Unidade escolar do Polo V  - EM Prefeito Gilberto Santana</t>
  </si>
  <si>
    <t>021/2019 - Esporte
Processo: 20.458/2018 - Chamamento nº 035/2018</t>
  </si>
  <si>
    <t>Associação Aquática de Atibaia - CNPJ 29.473.437/0001-24</t>
  </si>
  <si>
    <t>Rua da Imprensa, 165 - Jd. 3 Centenario - Atibaia/SP</t>
  </si>
  <si>
    <t>Execução do projeto esportivo na modalidade Natação</t>
  </si>
  <si>
    <t>022/2019 - Esporte
Processo: 28.999/2018 - Chamamento nº 037/2018</t>
  </si>
  <si>
    <t>Associação Desportiva Atibaiense - CNPJ 51.913.770/0001-66</t>
  </si>
  <si>
    <t>Av. Horário Neto, 1061 - Jd. Tapajós - Atibaia/SP</t>
  </si>
  <si>
    <t>Projeto esportivo na modalidade Tênis de Mesa</t>
  </si>
  <si>
    <t>1º Termo Aditivo ao 021/2018 - Cultura. 
Processo:  5648/2018 Edital de Chamamento: 3/18</t>
  </si>
  <si>
    <t>CAABEM - Casa de Apoio Amigos do Bem
CNPJ: 17.920.843/0001-09</t>
  </si>
  <si>
    <t>Rua Gina Lima Silvestre ,254 - Atibaia/SP</t>
  </si>
  <si>
    <t>Gestão do programa Confecção de Bonecos Gigantes pelo período de 09 (nove) meses</t>
  </si>
  <si>
    <t>Gestão do Programa "ARTES EM CENA" , correspondente ao período de 09 (nove) meses</t>
  </si>
  <si>
    <t>1º Termo Aditivo ao 022/2018 - Cultura Processo: 5644/2018
Edital de Chamamento: 2/18</t>
  </si>
  <si>
    <t>024/2019 - Educação - Processo: 31.845/2018 - Chamamento nº036/2018</t>
  </si>
  <si>
    <t>Programa Creche Comunitária Bairro Rio Acima</t>
  </si>
  <si>
    <t>026/2019 - SADS - Processo: 1370/2019 -</t>
  </si>
  <si>
    <t>Prestação de serviço para execução de oficinas socioeducativas que compoem ações estratégicas do Programa de Erradicação do Trabalho Infantil - PETI, ofertando 120 vagas</t>
  </si>
  <si>
    <t>027/2019 - SADS - Processo: 2400/2019 -</t>
  </si>
  <si>
    <t>Programa Envelhecimento Ativo, visando proporcionar atividades que permitam que os idosos a partir de 60 anos de idade envelheçam com qualidade de vida, assegurando os direitos individuais e sociais, estimulando educação, cultura, esporte, lazer, saúde, participação social, inclusão social e digital</t>
  </si>
  <si>
    <t>028/2019 - SADS - Processo: 2789/2019 - chamamento nº003/2019</t>
  </si>
  <si>
    <t>Gerenciamento do Centro Dia do Idoso para o acolhimento de até 40 idosos a partir de 60 anos, com graus de dependência I e II segundo Anvisa</t>
  </si>
  <si>
    <t>030/2019 - SADS - Processo: 7825/2019 - chamamento nº006/2019</t>
  </si>
  <si>
    <t>Serviço de atendimento especializado a famílias com pessoas com deficiência que tiveram suas limitações agravadas por violações de direitos (atendimentos de envelhescentes (PCD) 30 vagas</t>
  </si>
  <si>
    <t>Serviço de acolhimento provisorio e excepcional a crianças e adolescentes de ambos os sexos, inclusive com deficiência, de 0 a 18 anos incompletos, sob medida de proteção.</t>
  </si>
  <si>
    <t>VALOR REPASSADO NO EXERCÍCIO ATÉ 30/06/2019</t>
  </si>
  <si>
    <t>Atibaia, 30 de junho de 2019</t>
  </si>
  <si>
    <t>029/2019 - SADS - Processo: 2789/2019 - chamamento nº003/2019</t>
  </si>
  <si>
    <t>031/2019 - SADS - Processo: 14119/2019</t>
  </si>
  <si>
    <t>Acolhimento provisorio e excepcional a crianças e adolescentes de ambos os sexos, inclusive com deficiencia, de 0 a 18 anos incompletos,</t>
  </si>
  <si>
    <t>032/2019 - SADS - Processo: 14118/2019</t>
  </si>
  <si>
    <t xml:space="preserve">2º Termo Aditivo
060/2017 - FUNDEB - Processo:  24667/2017
Edital de Chamamento: 020/2017 – Creche Comunitária </t>
  </si>
  <si>
    <t>Gestão do Programa Creche Comunitária no Bairro Maracanã, destinado ao atendimento de mais 3 crianças, totalizando 33 (trinta e três) crianças em idade de 1 ano e 6 meses a 2 anos, 11 meses e 29 dias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</si>
</sst>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0" fontId="0" fillId="0" borderId="0" xfId="47" applyAlignment="1">
      <alignment horizontal="justify"/>
    </xf>
    <xf numFmtId="43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14" fontId="3" fillId="0" borderId="16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171" fontId="2" fillId="0" borderId="22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7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4" fillId="0" borderId="2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 inden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showGridLines="0" tabSelected="1" view="pageBreakPreview" zoomScale="80" zoomScaleSheetLayoutView="80" zoomScalePageLayoutView="0" workbookViewId="0" topLeftCell="A1">
      <pane ySplit="4" topLeftCell="BM110" activePane="bottomLeft" state="frozen"/>
      <selection pane="topLeft" activeCell="A1" sqref="A1"/>
      <selection pane="bottomLeft" activeCell="H113" sqref="H113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7.421875" style="8" customWidth="1"/>
    <col min="8" max="8" width="43.140625" style="0" customWidth="1"/>
    <col min="9" max="9" width="18.00390625" style="2" customWidth="1"/>
    <col min="10" max="10" width="15.7109375" style="0" customWidth="1"/>
  </cols>
  <sheetData>
    <row r="1" spans="1:9" ht="30" customHeight="1">
      <c r="A1" s="99" t="s">
        <v>45</v>
      </c>
      <c r="B1" s="99"/>
      <c r="C1" s="99"/>
      <c r="D1" s="99"/>
      <c r="E1" s="99"/>
      <c r="F1" s="99"/>
      <c r="G1" s="99"/>
      <c r="H1" s="99"/>
      <c r="I1" s="99"/>
    </row>
    <row r="2" spans="1:9" ht="30" customHeight="1">
      <c r="A2" s="99" t="s">
        <v>109</v>
      </c>
      <c r="B2" s="99"/>
      <c r="C2" s="99"/>
      <c r="D2" s="99"/>
      <c r="E2" s="99"/>
      <c r="F2" s="99"/>
      <c r="G2" s="99"/>
      <c r="H2" s="99"/>
      <c r="I2" s="99"/>
    </row>
    <row r="3" spans="1:9" ht="30" customHeight="1" thickBot="1">
      <c r="A3" s="100" t="s">
        <v>46</v>
      </c>
      <c r="B3" s="100"/>
      <c r="C3" s="100"/>
      <c r="D3" s="100"/>
      <c r="E3" s="100"/>
      <c r="F3" s="100"/>
      <c r="G3" s="100"/>
      <c r="H3" s="100"/>
      <c r="I3" s="100"/>
    </row>
    <row r="4" spans="1:9" s="3" customFormat="1" ht="49.5" customHeight="1" thickBot="1" thickTop="1">
      <c r="A4" s="4" t="s">
        <v>70</v>
      </c>
      <c r="B4" s="5" t="s">
        <v>47</v>
      </c>
      <c r="C4" s="5" t="s">
        <v>48</v>
      </c>
      <c r="D4" s="5" t="s">
        <v>49</v>
      </c>
      <c r="E4" s="5" t="s">
        <v>50</v>
      </c>
      <c r="F4" s="5" t="s">
        <v>63</v>
      </c>
      <c r="G4" s="7" t="s">
        <v>51</v>
      </c>
      <c r="H4" s="5" t="s">
        <v>52</v>
      </c>
      <c r="I4" s="6" t="s">
        <v>225</v>
      </c>
    </row>
    <row r="5" spans="1:9" s="3" customFormat="1" ht="49.5" customHeight="1" thickTop="1">
      <c r="A5" s="13" t="s">
        <v>116</v>
      </c>
      <c r="B5" s="22" t="s">
        <v>93</v>
      </c>
      <c r="C5" s="22" t="s">
        <v>94</v>
      </c>
      <c r="D5" s="23">
        <v>43467</v>
      </c>
      <c r="E5" s="23">
        <v>43830</v>
      </c>
      <c r="F5" s="24">
        <v>900000</v>
      </c>
      <c r="G5" s="17">
        <v>1</v>
      </c>
      <c r="H5" s="25" t="s">
        <v>95</v>
      </c>
      <c r="I5" s="19">
        <f>150000+80000+80000+80000+80000+70000</f>
        <v>540000</v>
      </c>
    </row>
    <row r="6" spans="1:9" s="3" customFormat="1" ht="69" customHeight="1">
      <c r="A6" s="57" t="s">
        <v>173</v>
      </c>
      <c r="B6" s="14" t="s">
        <v>62</v>
      </c>
      <c r="C6" s="14" t="s">
        <v>76</v>
      </c>
      <c r="D6" s="26">
        <v>43467</v>
      </c>
      <c r="E6" s="26">
        <v>43646</v>
      </c>
      <c r="F6" s="16">
        <v>55385.5</v>
      </c>
      <c r="G6" s="17">
        <v>5</v>
      </c>
      <c r="H6" s="58" t="s">
        <v>172</v>
      </c>
      <c r="I6" s="19">
        <f>9385.5+9200+9200+9200+9200+9200</f>
        <v>55385.5</v>
      </c>
    </row>
    <row r="7" spans="1:9" s="3" customFormat="1" ht="49.5" customHeight="1">
      <c r="A7" s="75" t="s">
        <v>171</v>
      </c>
      <c r="B7" s="85" t="s">
        <v>169</v>
      </c>
      <c r="C7" s="77" t="s">
        <v>170</v>
      </c>
      <c r="D7" s="81">
        <v>43467</v>
      </c>
      <c r="E7" s="81">
        <v>43830</v>
      </c>
      <c r="F7" s="16">
        <v>212000</v>
      </c>
      <c r="G7" s="17">
        <v>1</v>
      </c>
      <c r="H7" s="83" t="s">
        <v>172</v>
      </c>
      <c r="I7" s="19">
        <f>17666.74+17666.66+17666.66+17666.66+17666.66+17666.66</f>
        <v>106000.04000000001</v>
      </c>
    </row>
    <row r="8" spans="1:9" s="3" customFormat="1" ht="49.5" customHeight="1">
      <c r="A8" s="76"/>
      <c r="B8" s="85"/>
      <c r="C8" s="78"/>
      <c r="D8" s="82"/>
      <c r="E8" s="82"/>
      <c r="F8" s="16">
        <v>108000</v>
      </c>
      <c r="G8" s="17">
        <v>5</v>
      </c>
      <c r="H8" s="84"/>
      <c r="I8" s="19">
        <f>9000+9000+9000+9000+9000+9000+9000</f>
        <v>63000</v>
      </c>
    </row>
    <row r="9" spans="1:9" s="3" customFormat="1" ht="49.5" customHeight="1">
      <c r="A9" s="75" t="s">
        <v>167</v>
      </c>
      <c r="B9" s="77" t="s">
        <v>57</v>
      </c>
      <c r="C9" s="77" t="s">
        <v>64</v>
      </c>
      <c r="D9" s="81">
        <v>43467</v>
      </c>
      <c r="E9" s="81">
        <v>43830</v>
      </c>
      <c r="F9" s="16">
        <f>4600+7089</f>
        <v>11689</v>
      </c>
      <c r="G9" s="17">
        <v>1</v>
      </c>
      <c r="H9" s="83" t="s">
        <v>168</v>
      </c>
      <c r="I9" s="19">
        <f>420+380+380+380+380+887+380+886</f>
        <v>4093</v>
      </c>
    </row>
    <row r="10" spans="1:9" s="3" customFormat="1" ht="49.5" customHeight="1">
      <c r="A10" s="76"/>
      <c r="B10" s="78"/>
      <c r="C10" s="78"/>
      <c r="D10" s="82"/>
      <c r="E10" s="82"/>
      <c r="F10" s="16">
        <v>34020</v>
      </c>
      <c r="G10" s="17">
        <v>5</v>
      </c>
      <c r="H10" s="84"/>
      <c r="I10" s="19">
        <f>2798.37+2838.33+2838.33+2838.33+2838.33+2838.33+2838.33</f>
        <v>19828.35</v>
      </c>
    </row>
    <row r="11" spans="1:9" s="3" customFormat="1" ht="49.5" customHeight="1">
      <c r="A11" s="75" t="s">
        <v>163</v>
      </c>
      <c r="B11" s="77" t="s">
        <v>164</v>
      </c>
      <c r="C11" s="77" t="s">
        <v>165</v>
      </c>
      <c r="D11" s="81">
        <v>43466</v>
      </c>
      <c r="E11" s="81">
        <v>43830</v>
      </c>
      <c r="F11" s="16">
        <v>243750</v>
      </c>
      <c r="G11" s="17">
        <v>1</v>
      </c>
      <c r="H11" s="83" t="s">
        <v>166</v>
      </c>
      <c r="I11" s="19">
        <f>20000+20000+20000+20000+20000+20000</f>
        <v>120000</v>
      </c>
    </row>
    <row r="12" spans="1:9" s="3" customFormat="1" ht="49.5" customHeight="1">
      <c r="A12" s="86"/>
      <c r="B12" s="87"/>
      <c r="C12" s="87"/>
      <c r="D12" s="79"/>
      <c r="E12" s="79"/>
      <c r="F12" s="16">
        <v>25250</v>
      </c>
      <c r="G12" s="17">
        <v>2</v>
      </c>
      <c r="H12" s="80"/>
      <c r="I12" s="19">
        <v>0</v>
      </c>
    </row>
    <row r="13" spans="1:9" s="3" customFormat="1" ht="49.5" customHeight="1">
      <c r="A13" s="76"/>
      <c r="B13" s="78"/>
      <c r="C13" s="78"/>
      <c r="D13" s="82"/>
      <c r="E13" s="82"/>
      <c r="F13" s="16">
        <v>100000</v>
      </c>
      <c r="G13" s="17">
        <v>5</v>
      </c>
      <c r="H13" s="84"/>
      <c r="I13" s="19">
        <f>10750+10750+10750+10750+10750+10750+6000</f>
        <v>70500</v>
      </c>
    </row>
    <row r="14" spans="1:9" s="3" customFormat="1" ht="49.5" customHeight="1">
      <c r="A14" s="75" t="s">
        <v>153</v>
      </c>
      <c r="B14" s="77" t="s">
        <v>33</v>
      </c>
      <c r="C14" s="77" t="s">
        <v>34</v>
      </c>
      <c r="D14" s="81">
        <v>43466</v>
      </c>
      <c r="E14" s="81">
        <v>43585</v>
      </c>
      <c r="F14" s="39">
        <f>163300+81650</f>
        <v>244950</v>
      </c>
      <c r="G14" s="17">
        <v>1</v>
      </c>
      <c r="H14" s="83" t="s">
        <v>154</v>
      </c>
      <c r="I14" s="19">
        <f>40825+40825+40825+40825+40825+40825</f>
        <v>244950</v>
      </c>
    </row>
    <row r="15" spans="1:9" s="3" customFormat="1" ht="49.5" customHeight="1" thickBot="1">
      <c r="A15" s="76"/>
      <c r="B15" s="78"/>
      <c r="C15" s="78"/>
      <c r="D15" s="72"/>
      <c r="E15" s="72"/>
      <c r="F15" s="38">
        <f>20000+10000</f>
        <v>30000</v>
      </c>
      <c r="G15" s="17">
        <v>5</v>
      </c>
      <c r="H15" s="74"/>
      <c r="I15" s="19">
        <f>5000+5000+5000+5000+5000+5000</f>
        <v>30000</v>
      </c>
    </row>
    <row r="16" spans="1:9" s="3" customFormat="1" ht="49.5" customHeight="1" thickTop="1">
      <c r="A16" s="75" t="s">
        <v>152</v>
      </c>
      <c r="B16" s="77" t="s">
        <v>33</v>
      </c>
      <c r="C16" s="77" t="s">
        <v>34</v>
      </c>
      <c r="D16" s="81">
        <v>43466</v>
      </c>
      <c r="E16" s="81">
        <v>43585</v>
      </c>
      <c r="F16" s="39">
        <f>163300+81650</f>
        <v>244950</v>
      </c>
      <c r="G16" s="17">
        <v>1</v>
      </c>
      <c r="H16" s="83" t="s">
        <v>154</v>
      </c>
      <c r="I16" s="19">
        <f>40825+40825+40825+40825+40825+40825</f>
        <v>244950</v>
      </c>
    </row>
    <row r="17" spans="1:9" s="3" customFormat="1" ht="49.5" customHeight="1" thickBot="1">
      <c r="A17" s="76"/>
      <c r="B17" s="78"/>
      <c r="C17" s="78"/>
      <c r="D17" s="72"/>
      <c r="E17" s="72"/>
      <c r="F17" s="38">
        <f>20000+10000</f>
        <v>30000</v>
      </c>
      <c r="G17" s="17">
        <v>5</v>
      </c>
      <c r="H17" s="74"/>
      <c r="I17" s="19">
        <f>5000+5000+5000+5000+5000+5000</f>
        <v>30000</v>
      </c>
    </row>
    <row r="18" spans="1:9" s="3" customFormat="1" ht="49.5" customHeight="1" thickTop="1">
      <c r="A18" s="75" t="s">
        <v>161</v>
      </c>
      <c r="B18" s="77" t="s">
        <v>62</v>
      </c>
      <c r="C18" s="77" t="s">
        <v>76</v>
      </c>
      <c r="D18" s="81">
        <v>43467</v>
      </c>
      <c r="E18" s="81">
        <v>43830</v>
      </c>
      <c r="F18" s="21">
        <v>65990</v>
      </c>
      <c r="G18" s="17">
        <v>1</v>
      </c>
      <c r="H18" s="73" t="s">
        <v>162</v>
      </c>
      <c r="I18" s="19">
        <f>6870+7670+7670+7670+7670+7670</f>
        <v>45220</v>
      </c>
    </row>
    <row r="19" spans="1:9" s="3" customFormat="1" ht="49.5" customHeight="1">
      <c r="A19" s="86"/>
      <c r="B19" s="87"/>
      <c r="C19" s="87"/>
      <c r="D19" s="79"/>
      <c r="E19" s="79"/>
      <c r="F19" s="21">
        <v>25250</v>
      </c>
      <c r="G19" s="17">
        <v>2</v>
      </c>
      <c r="H19" s="80"/>
      <c r="I19" s="19">
        <v>0</v>
      </c>
    </row>
    <row r="20" spans="1:9" s="3" customFormat="1" ht="49.5" customHeight="1" thickBot="1">
      <c r="A20" s="76"/>
      <c r="B20" s="78"/>
      <c r="C20" s="78"/>
      <c r="D20" s="72"/>
      <c r="E20" s="72"/>
      <c r="F20" s="21">
        <v>41600</v>
      </c>
      <c r="G20" s="17">
        <v>5</v>
      </c>
      <c r="H20" s="84"/>
      <c r="I20" s="19">
        <f>4200+3400+3400+3400+3400+3400+3400</f>
        <v>24600</v>
      </c>
    </row>
    <row r="21" spans="1:9" s="3" customFormat="1" ht="49.5" customHeight="1" thickTop="1">
      <c r="A21" s="75" t="s">
        <v>159</v>
      </c>
      <c r="B21" s="77" t="s">
        <v>62</v>
      </c>
      <c r="C21" s="77" t="s">
        <v>76</v>
      </c>
      <c r="D21" s="81">
        <v>43467</v>
      </c>
      <c r="E21" s="81">
        <v>43830</v>
      </c>
      <c r="F21" s="39">
        <v>36470</v>
      </c>
      <c r="G21" s="17">
        <v>1</v>
      </c>
      <c r="H21" s="83" t="s">
        <v>160</v>
      </c>
      <c r="I21" s="19">
        <f>3920+4110+4110+4110+4110+4110</f>
        <v>24470</v>
      </c>
    </row>
    <row r="22" spans="1:9" s="3" customFormat="1" ht="49.5" customHeight="1">
      <c r="A22" s="86"/>
      <c r="B22" s="87"/>
      <c r="C22" s="87"/>
      <c r="D22" s="79"/>
      <c r="E22" s="79"/>
      <c r="F22" s="21">
        <v>25250</v>
      </c>
      <c r="G22" s="17">
        <v>2</v>
      </c>
      <c r="H22" s="80"/>
      <c r="I22" s="19">
        <v>0</v>
      </c>
    </row>
    <row r="23" spans="1:9" s="3" customFormat="1" ht="49.5" customHeight="1" thickBot="1">
      <c r="A23" s="76"/>
      <c r="B23" s="78"/>
      <c r="C23" s="78"/>
      <c r="D23" s="72"/>
      <c r="E23" s="72"/>
      <c r="F23" s="38">
        <v>41600</v>
      </c>
      <c r="G23" s="17">
        <v>5</v>
      </c>
      <c r="H23" s="74"/>
      <c r="I23" s="19">
        <f>4690+4500+4500+4500+4500+4500+2360</f>
        <v>29550</v>
      </c>
    </row>
    <row r="24" spans="1:9" s="3" customFormat="1" ht="49.5" customHeight="1" thickTop="1">
      <c r="A24" s="75" t="s">
        <v>156</v>
      </c>
      <c r="B24" s="77" t="s">
        <v>53</v>
      </c>
      <c r="C24" s="77" t="s">
        <v>54</v>
      </c>
      <c r="D24" s="81">
        <v>43467</v>
      </c>
      <c r="E24" s="81">
        <v>43830</v>
      </c>
      <c r="F24" s="39">
        <v>125670</v>
      </c>
      <c r="G24" s="17">
        <v>1</v>
      </c>
      <c r="H24" s="83" t="s">
        <v>158</v>
      </c>
      <c r="I24" s="19">
        <f>10160+10160+10160+10160+10160+10160</f>
        <v>60960</v>
      </c>
    </row>
    <row r="25" spans="1:9" s="3" customFormat="1" ht="49.5" customHeight="1">
      <c r="A25" s="86"/>
      <c r="B25" s="87"/>
      <c r="C25" s="87"/>
      <c r="D25" s="79"/>
      <c r="E25" s="79"/>
      <c r="F25" s="21">
        <v>25250</v>
      </c>
      <c r="G25" s="17">
        <v>2</v>
      </c>
      <c r="H25" s="80"/>
      <c r="I25" s="19">
        <v>0</v>
      </c>
    </row>
    <row r="26" spans="1:9" s="3" customFormat="1" ht="49.5" customHeight="1" thickBot="1">
      <c r="A26" s="76"/>
      <c r="B26" s="78"/>
      <c r="C26" s="78"/>
      <c r="D26" s="72"/>
      <c r="E26" s="72"/>
      <c r="F26" s="38">
        <v>100000</v>
      </c>
      <c r="G26" s="17">
        <v>5</v>
      </c>
      <c r="H26" s="74"/>
      <c r="I26" s="19">
        <f>10750+10750+10750+10750+10750+10750+6000</f>
        <v>70500</v>
      </c>
    </row>
    <row r="27" spans="1:9" s="3" customFormat="1" ht="72.75" customHeight="1" thickTop="1">
      <c r="A27" s="59" t="s">
        <v>174</v>
      </c>
      <c r="B27" s="22" t="s">
        <v>175</v>
      </c>
      <c r="C27" s="22" t="s">
        <v>176</v>
      </c>
      <c r="D27" s="15">
        <v>43467</v>
      </c>
      <c r="E27" s="15">
        <v>43829</v>
      </c>
      <c r="F27" s="21">
        <v>210000</v>
      </c>
      <c r="G27" s="17">
        <v>1</v>
      </c>
      <c r="H27" s="18" t="s">
        <v>177</v>
      </c>
      <c r="I27" s="19">
        <f>60000+15000+15000+15000+15000+15000</f>
        <v>135000</v>
      </c>
    </row>
    <row r="28" spans="1:9" s="3" customFormat="1" ht="55.5" customHeight="1">
      <c r="A28" s="59" t="s">
        <v>157</v>
      </c>
      <c r="B28" s="40" t="s">
        <v>57</v>
      </c>
      <c r="C28" s="40" t="s">
        <v>64</v>
      </c>
      <c r="D28" s="15">
        <v>43467</v>
      </c>
      <c r="E28" s="15">
        <v>43830</v>
      </c>
      <c r="F28" s="21">
        <v>892620</v>
      </c>
      <c r="G28" s="17">
        <v>2</v>
      </c>
      <c r="H28" s="18" t="s">
        <v>155</v>
      </c>
      <c r="I28" s="19">
        <f>74385+74385+74385+74385+74385+10800+74385+10800</f>
        <v>467910</v>
      </c>
    </row>
    <row r="29" spans="1:9" s="3" customFormat="1" ht="59.25" customHeight="1">
      <c r="A29" s="59" t="s">
        <v>191</v>
      </c>
      <c r="B29" s="14" t="s">
        <v>192</v>
      </c>
      <c r="C29" s="14" t="s">
        <v>66</v>
      </c>
      <c r="D29" s="15">
        <v>43497</v>
      </c>
      <c r="E29" s="15">
        <v>43830</v>
      </c>
      <c r="F29" s="21">
        <v>80000</v>
      </c>
      <c r="G29" s="17">
        <v>2</v>
      </c>
      <c r="H29" s="18" t="s">
        <v>193</v>
      </c>
      <c r="I29" s="19">
        <f>8000+8000+8000+8000+8000</f>
        <v>40000</v>
      </c>
    </row>
    <row r="30" spans="1:9" s="3" customFormat="1" ht="59.25" customHeight="1">
      <c r="A30" s="59" t="s">
        <v>198</v>
      </c>
      <c r="B30" s="14" t="s">
        <v>192</v>
      </c>
      <c r="C30" s="14" t="s">
        <v>66</v>
      </c>
      <c r="D30" s="15">
        <v>43497</v>
      </c>
      <c r="E30" s="15">
        <v>43830</v>
      </c>
      <c r="F30" s="21">
        <v>80000</v>
      </c>
      <c r="G30" s="17">
        <v>2</v>
      </c>
      <c r="H30" s="18" t="s">
        <v>199</v>
      </c>
      <c r="I30" s="19">
        <f>8000+8000+8000+8000+8000</f>
        <v>40000</v>
      </c>
    </row>
    <row r="31" spans="1:9" s="3" customFormat="1" ht="59.25" customHeight="1">
      <c r="A31" s="59" t="s">
        <v>196</v>
      </c>
      <c r="B31" s="14" t="s">
        <v>53</v>
      </c>
      <c r="C31" s="14" t="s">
        <v>54</v>
      </c>
      <c r="D31" s="15">
        <v>43497</v>
      </c>
      <c r="E31" s="15">
        <v>43830</v>
      </c>
      <c r="F31" s="21">
        <v>174720</v>
      </c>
      <c r="G31" s="17">
        <v>2</v>
      </c>
      <c r="H31" s="18" t="s">
        <v>197</v>
      </c>
      <c r="I31" s="19">
        <f>17472+17472+17472+17472+17472</f>
        <v>87360</v>
      </c>
    </row>
    <row r="32" spans="1:9" s="3" customFormat="1" ht="54" customHeight="1">
      <c r="A32" s="59" t="s">
        <v>194</v>
      </c>
      <c r="B32" s="14" t="s">
        <v>53</v>
      </c>
      <c r="C32" s="14" t="s">
        <v>54</v>
      </c>
      <c r="D32" s="15">
        <v>43497</v>
      </c>
      <c r="E32" s="15">
        <v>43830</v>
      </c>
      <c r="F32" s="21">
        <v>242100</v>
      </c>
      <c r="G32" s="17">
        <v>2</v>
      </c>
      <c r="H32" s="18" t="s">
        <v>195</v>
      </c>
      <c r="I32" s="19">
        <f>24210+24210+24210+24210+24210</f>
        <v>121050</v>
      </c>
    </row>
    <row r="33" spans="1:9" s="3" customFormat="1" ht="72" customHeight="1">
      <c r="A33" s="59" t="s">
        <v>187</v>
      </c>
      <c r="B33" s="14" t="s">
        <v>53</v>
      </c>
      <c r="C33" s="14" t="s">
        <v>54</v>
      </c>
      <c r="D33" s="15">
        <v>43497</v>
      </c>
      <c r="E33" s="15">
        <v>43830</v>
      </c>
      <c r="F33" s="21">
        <v>168000</v>
      </c>
      <c r="G33" s="17">
        <v>2</v>
      </c>
      <c r="H33" s="18" t="s">
        <v>188</v>
      </c>
      <c r="I33" s="19">
        <f>16800+16800+16800+16800+16800</f>
        <v>84000</v>
      </c>
    </row>
    <row r="34" spans="1:9" s="3" customFormat="1" ht="72" customHeight="1">
      <c r="A34" s="59" t="s">
        <v>189</v>
      </c>
      <c r="B34" s="14" t="s">
        <v>53</v>
      </c>
      <c r="C34" s="14" t="s">
        <v>54</v>
      </c>
      <c r="D34" s="15">
        <v>43497</v>
      </c>
      <c r="E34" s="15">
        <v>43830</v>
      </c>
      <c r="F34" s="21">
        <v>211680</v>
      </c>
      <c r="G34" s="17">
        <v>2</v>
      </c>
      <c r="H34" s="18" t="s">
        <v>190</v>
      </c>
      <c r="I34" s="19">
        <f>21168+21168+21168+21168+21168</f>
        <v>105840</v>
      </c>
    </row>
    <row r="35" spans="1:9" s="3" customFormat="1" ht="76.5" customHeight="1">
      <c r="A35" s="59" t="s">
        <v>185</v>
      </c>
      <c r="B35" s="14" t="s">
        <v>181</v>
      </c>
      <c r="C35" s="14" t="s">
        <v>182</v>
      </c>
      <c r="D35" s="15">
        <v>43473</v>
      </c>
      <c r="E35" s="15">
        <v>43830</v>
      </c>
      <c r="F35" s="21">
        <v>120000</v>
      </c>
      <c r="G35" s="17">
        <v>1</v>
      </c>
      <c r="H35" s="18" t="s">
        <v>183</v>
      </c>
      <c r="I35" s="19">
        <f>50000+10000+10000+10000+10000+10000</f>
        <v>100000</v>
      </c>
    </row>
    <row r="36" spans="1:9" s="3" customFormat="1" ht="76.5" customHeight="1">
      <c r="A36" s="59" t="s">
        <v>184</v>
      </c>
      <c r="B36" s="14" t="s">
        <v>181</v>
      </c>
      <c r="C36" s="14" t="s">
        <v>182</v>
      </c>
      <c r="D36" s="15">
        <v>43473</v>
      </c>
      <c r="E36" s="15">
        <v>43830</v>
      </c>
      <c r="F36" s="21">
        <v>60000</v>
      </c>
      <c r="G36" s="17">
        <v>1</v>
      </c>
      <c r="H36" s="18" t="s">
        <v>186</v>
      </c>
      <c r="I36" s="19">
        <f>15000+5000+5000+5000+5000</f>
        <v>35000</v>
      </c>
    </row>
    <row r="37" spans="1:9" s="3" customFormat="1" ht="76.5" customHeight="1">
      <c r="A37" s="59" t="s">
        <v>200</v>
      </c>
      <c r="B37" s="14" t="s">
        <v>201</v>
      </c>
      <c r="C37" s="14" t="s">
        <v>202</v>
      </c>
      <c r="D37" s="15">
        <v>43497</v>
      </c>
      <c r="E37" s="15">
        <v>43830</v>
      </c>
      <c r="F37" s="21">
        <v>280000</v>
      </c>
      <c r="G37" s="17">
        <v>1</v>
      </c>
      <c r="H37" s="18" t="s">
        <v>203</v>
      </c>
      <c r="I37" s="19">
        <f>80000+20000+20000+20000+20000</f>
        <v>160000</v>
      </c>
    </row>
    <row r="38" spans="1:9" s="3" customFormat="1" ht="76.5" customHeight="1">
      <c r="A38" s="59" t="s">
        <v>204</v>
      </c>
      <c r="B38" s="14" t="s">
        <v>205</v>
      </c>
      <c r="C38" s="14" t="s">
        <v>206</v>
      </c>
      <c r="D38" s="15">
        <v>43497</v>
      </c>
      <c r="E38" s="15">
        <v>43830</v>
      </c>
      <c r="F38" s="21">
        <v>56000</v>
      </c>
      <c r="G38" s="17">
        <v>1</v>
      </c>
      <c r="H38" s="18" t="s">
        <v>207</v>
      </c>
      <c r="I38" s="19">
        <f>16000+5000+5000+5000+5000</f>
        <v>36000</v>
      </c>
    </row>
    <row r="39" spans="1:9" s="3" customFormat="1" ht="76.5" customHeight="1">
      <c r="A39" s="59" t="s">
        <v>214</v>
      </c>
      <c r="B39" s="22" t="s">
        <v>101</v>
      </c>
      <c r="C39" s="22" t="s">
        <v>102</v>
      </c>
      <c r="D39" s="15">
        <v>43525</v>
      </c>
      <c r="E39" s="15">
        <v>43830</v>
      </c>
      <c r="F39" s="21">
        <v>83700</v>
      </c>
      <c r="G39" s="17">
        <v>2</v>
      </c>
      <c r="H39" s="18" t="s">
        <v>215</v>
      </c>
      <c r="I39" s="19">
        <f>8370+8370+8370+8370</f>
        <v>33480</v>
      </c>
    </row>
    <row r="40" spans="1:9" s="3" customFormat="1" ht="76.5" customHeight="1">
      <c r="A40" s="59" t="s">
        <v>216</v>
      </c>
      <c r="B40" s="37" t="s">
        <v>192</v>
      </c>
      <c r="C40" s="20" t="s">
        <v>66</v>
      </c>
      <c r="D40" s="15">
        <v>43556</v>
      </c>
      <c r="E40" s="15">
        <v>43830</v>
      </c>
      <c r="F40" s="21">
        <v>80971.92</v>
      </c>
      <c r="G40" s="17">
        <v>5</v>
      </c>
      <c r="H40" s="18" t="s">
        <v>217</v>
      </c>
      <c r="I40" s="19">
        <f>8971.92+9000+9000+9000</f>
        <v>35971.92</v>
      </c>
    </row>
    <row r="41" spans="1:9" s="3" customFormat="1" ht="76.5" customHeight="1">
      <c r="A41" s="59" t="s">
        <v>218</v>
      </c>
      <c r="B41" s="37" t="s">
        <v>62</v>
      </c>
      <c r="C41" s="14" t="s">
        <v>76</v>
      </c>
      <c r="D41" s="15">
        <v>43556</v>
      </c>
      <c r="E41" s="15">
        <v>43830</v>
      </c>
      <c r="F41" s="21">
        <v>111000</v>
      </c>
      <c r="G41" s="17">
        <v>1</v>
      </c>
      <c r="H41" s="18" t="s">
        <v>219</v>
      </c>
      <c r="I41" s="19">
        <f>11000+12500+12500</f>
        <v>36000</v>
      </c>
    </row>
    <row r="42" spans="1:9" s="3" customFormat="1" ht="76.5" customHeight="1">
      <c r="A42" s="59" t="s">
        <v>220</v>
      </c>
      <c r="B42" s="37" t="s">
        <v>60</v>
      </c>
      <c r="C42" s="14" t="s">
        <v>67</v>
      </c>
      <c r="D42" s="15">
        <v>43556</v>
      </c>
      <c r="E42" s="15">
        <v>43830</v>
      </c>
      <c r="F42" s="21">
        <v>380000</v>
      </c>
      <c r="G42" s="17">
        <v>1</v>
      </c>
      <c r="H42" s="18" t="s">
        <v>221</v>
      </c>
      <c r="I42" s="19">
        <f>42000+42000</f>
        <v>84000</v>
      </c>
    </row>
    <row r="43" spans="1:9" s="3" customFormat="1" ht="76.5" customHeight="1">
      <c r="A43" s="75" t="s">
        <v>227</v>
      </c>
      <c r="B43" s="77" t="s">
        <v>60</v>
      </c>
      <c r="C43" s="77" t="s">
        <v>67</v>
      </c>
      <c r="D43" s="79">
        <v>43586</v>
      </c>
      <c r="E43" s="79">
        <v>43830</v>
      </c>
      <c r="F43" s="21">
        <v>366700</v>
      </c>
      <c r="G43" s="17">
        <v>1</v>
      </c>
      <c r="H43" s="80" t="s">
        <v>224</v>
      </c>
      <c r="I43" s="19">
        <f>40837.5+40837.5</f>
        <v>81675</v>
      </c>
    </row>
    <row r="44" spans="1:9" s="3" customFormat="1" ht="76.5" customHeight="1">
      <c r="A44" s="76"/>
      <c r="B44" s="78"/>
      <c r="C44" s="78"/>
      <c r="D44" s="79"/>
      <c r="E44" s="79"/>
      <c r="F44" s="21">
        <v>40000</v>
      </c>
      <c r="G44" s="17">
        <v>5</v>
      </c>
      <c r="H44" s="80"/>
      <c r="I44" s="19">
        <f>5000+5000+5000</f>
        <v>15000</v>
      </c>
    </row>
    <row r="45" spans="1:9" s="3" customFormat="1" ht="76.5" customHeight="1">
      <c r="A45" s="75" t="s">
        <v>222</v>
      </c>
      <c r="B45" s="77" t="s">
        <v>57</v>
      </c>
      <c r="C45" s="77" t="s">
        <v>64</v>
      </c>
      <c r="D45" s="79">
        <v>43586</v>
      </c>
      <c r="E45" s="79">
        <v>43830</v>
      </c>
      <c r="F45" s="21">
        <v>20233.55</v>
      </c>
      <c r="G45" s="17">
        <v>1</v>
      </c>
      <c r="H45" s="80" t="s">
        <v>223</v>
      </c>
      <c r="I45" s="19">
        <f>2383.55+2550</f>
        <v>4933.55</v>
      </c>
    </row>
    <row r="46" spans="1:9" s="3" customFormat="1" ht="47.25" customHeight="1" thickBot="1">
      <c r="A46" s="76"/>
      <c r="B46" s="78"/>
      <c r="C46" s="78"/>
      <c r="D46" s="72"/>
      <c r="E46" s="72"/>
      <c r="F46" s="38">
        <v>12602.12</v>
      </c>
      <c r="G46" s="17">
        <v>5</v>
      </c>
      <c r="H46" s="74"/>
      <c r="I46" s="19">
        <f>1787.12+1545+1545</f>
        <v>4877.12</v>
      </c>
    </row>
    <row r="47" spans="1:9" s="70" customFormat="1" ht="59.25" customHeight="1" thickTop="1">
      <c r="A47" s="75" t="s">
        <v>228</v>
      </c>
      <c r="B47" s="77" t="s">
        <v>53</v>
      </c>
      <c r="C47" s="77" t="s">
        <v>54</v>
      </c>
      <c r="D47" s="71">
        <v>43647</v>
      </c>
      <c r="E47" s="71">
        <v>44196</v>
      </c>
      <c r="F47" s="21">
        <v>735050</v>
      </c>
      <c r="G47" s="17">
        <v>1</v>
      </c>
      <c r="H47" s="73" t="s">
        <v>229</v>
      </c>
      <c r="I47" s="19">
        <v>0</v>
      </c>
    </row>
    <row r="48" spans="1:9" s="70" customFormat="1" ht="59.25" customHeight="1" thickBot="1">
      <c r="A48" s="76"/>
      <c r="B48" s="78"/>
      <c r="C48" s="78"/>
      <c r="D48" s="72"/>
      <c r="E48" s="72"/>
      <c r="F48" s="21">
        <v>90000</v>
      </c>
      <c r="G48" s="17">
        <v>5</v>
      </c>
      <c r="H48" s="74"/>
      <c r="I48" s="19">
        <f>5000</f>
        <v>5000</v>
      </c>
    </row>
    <row r="49" spans="1:9" s="70" customFormat="1" ht="59.25" customHeight="1" thickTop="1">
      <c r="A49" s="75" t="s">
        <v>230</v>
      </c>
      <c r="B49" s="77" t="s">
        <v>53</v>
      </c>
      <c r="C49" s="77" t="s">
        <v>54</v>
      </c>
      <c r="D49" s="71">
        <v>43647</v>
      </c>
      <c r="E49" s="71">
        <v>44196</v>
      </c>
      <c r="F49" s="21">
        <v>735050</v>
      </c>
      <c r="G49" s="17">
        <v>1</v>
      </c>
      <c r="H49" s="73" t="s">
        <v>229</v>
      </c>
      <c r="I49" s="19">
        <v>0</v>
      </c>
    </row>
    <row r="50" spans="1:9" s="70" customFormat="1" ht="59.25" customHeight="1" thickBot="1">
      <c r="A50" s="76"/>
      <c r="B50" s="78"/>
      <c r="C50" s="78"/>
      <c r="D50" s="72"/>
      <c r="E50" s="72"/>
      <c r="F50" s="21">
        <v>90000</v>
      </c>
      <c r="G50" s="17">
        <v>5</v>
      </c>
      <c r="H50" s="74"/>
      <c r="I50" s="19">
        <f>5000</f>
        <v>5000</v>
      </c>
    </row>
    <row r="51" spans="1:10" s="3" customFormat="1" ht="100.5" customHeight="1" thickTop="1">
      <c r="A51" s="13" t="s">
        <v>110</v>
      </c>
      <c r="B51" s="14" t="s">
        <v>62</v>
      </c>
      <c r="C51" s="14" t="s">
        <v>76</v>
      </c>
      <c r="D51" s="35">
        <v>43467</v>
      </c>
      <c r="E51" s="35">
        <v>43830</v>
      </c>
      <c r="F51" s="28">
        <v>335100</v>
      </c>
      <c r="G51" s="29">
        <v>1</v>
      </c>
      <c r="H51" s="33" t="s">
        <v>115</v>
      </c>
      <c r="I51" s="30">
        <f>27925+27925+27925+27925+27925+27925</f>
        <v>167550</v>
      </c>
      <c r="J51" s="9"/>
    </row>
    <row r="52" spans="1:10" s="3" customFormat="1" ht="56.25" customHeight="1">
      <c r="A52" s="75" t="s">
        <v>111</v>
      </c>
      <c r="B52" s="77" t="s">
        <v>60</v>
      </c>
      <c r="C52" s="77" t="s">
        <v>67</v>
      </c>
      <c r="D52" s="89">
        <v>43467</v>
      </c>
      <c r="E52" s="92">
        <v>43830</v>
      </c>
      <c r="F52" s="24">
        <v>275000</v>
      </c>
      <c r="G52" s="17">
        <v>1</v>
      </c>
      <c r="H52" s="80" t="s">
        <v>113</v>
      </c>
      <c r="I52" s="19">
        <f>23100+22900+22900+22900+22900+22900</f>
        <v>137600</v>
      </c>
      <c r="J52" s="9"/>
    </row>
    <row r="53" spans="1:10" s="3" customFormat="1" ht="51.75" customHeight="1">
      <c r="A53" s="86"/>
      <c r="B53" s="87"/>
      <c r="C53" s="87"/>
      <c r="D53" s="90"/>
      <c r="E53" s="93"/>
      <c r="F53" s="24">
        <v>120000</v>
      </c>
      <c r="G53" s="17">
        <v>2</v>
      </c>
      <c r="H53" s="80"/>
      <c r="I53" s="19">
        <v>10000</v>
      </c>
      <c r="J53" s="9"/>
    </row>
    <row r="54" spans="1:10" s="3" customFormat="1" ht="41.25" customHeight="1">
      <c r="A54" s="76"/>
      <c r="B54" s="78"/>
      <c r="C54" s="78"/>
      <c r="D54" s="91"/>
      <c r="E54" s="94"/>
      <c r="F54" s="24">
        <v>180000</v>
      </c>
      <c r="G54" s="17">
        <v>5</v>
      </c>
      <c r="H54" s="84"/>
      <c r="I54" s="19">
        <f>15000+15000+15000+15000+15000+15000+15000</f>
        <v>105000</v>
      </c>
      <c r="J54" s="9"/>
    </row>
    <row r="55" spans="1:10" s="3" customFormat="1" ht="48.75" customHeight="1">
      <c r="A55" s="75" t="s">
        <v>112</v>
      </c>
      <c r="B55" s="77" t="s">
        <v>60</v>
      </c>
      <c r="C55" s="77" t="s">
        <v>67</v>
      </c>
      <c r="D55" s="89">
        <v>43102</v>
      </c>
      <c r="E55" s="92">
        <v>43465</v>
      </c>
      <c r="F55" s="24">
        <f>555200+106000</f>
        <v>661200</v>
      </c>
      <c r="G55" s="17">
        <v>1</v>
      </c>
      <c r="H55" s="83" t="s">
        <v>114</v>
      </c>
      <c r="I55" s="19">
        <f>38200+8800+37800+8400+37800+8400+37800+10600+37800+8400+10600+8400+10600+37800+8400+10600</f>
        <v>320400</v>
      </c>
      <c r="J55" s="9"/>
    </row>
    <row r="56" spans="1:10" s="3" customFormat="1" ht="51" customHeight="1">
      <c r="A56" s="86"/>
      <c r="B56" s="87"/>
      <c r="C56" s="87"/>
      <c r="D56" s="90"/>
      <c r="E56" s="93"/>
      <c r="F56" s="24">
        <v>130000</v>
      </c>
      <c r="G56" s="17">
        <v>2</v>
      </c>
      <c r="H56" s="80"/>
      <c r="I56" s="19">
        <f>8230</f>
        <v>8230</v>
      </c>
      <c r="J56" s="9"/>
    </row>
    <row r="57" spans="1:10" s="3" customFormat="1" ht="48" customHeight="1">
      <c r="A57" s="76"/>
      <c r="B57" s="78"/>
      <c r="C57" s="78"/>
      <c r="D57" s="91"/>
      <c r="E57" s="94"/>
      <c r="F57" s="24">
        <v>138000</v>
      </c>
      <c r="G57" s="17">
        <v>5</v>
      </c>
      <c r="H57" s="84"/>
      <c r="I57" s="19">
        <f>5000+5000+6500+6500+5000+6500+5000+6500+5000+6500+5000+6500+5000+6500</f>
        <v>80500</v>
      </c>
      <c r="J57" s="9"/>
    </row>
    <row r="58" spans="1:10" s="3" customFormat="1" ht="126.75" customHeight="1">
      <c r="A58" s="13" t="s">
        <v>117</v>
      </c>
      <c r="B58" s="22" t="s">
        <v>96</v>
      </c>
      <c r="C58" s="22" t="s">
        <v>97</v>
      </c>
      <c r="D58" s="23">
        <v>43467</v>
      </c>
      <c r="E58" s="23">
        <v>43830</v>
      </c>
      <c r="F58" s="24">
        <v>936000</v>
      </c>
      <c r="G58" s="17">
        <v>1</v>
      </c>
      <c r="H58" s="25" t="s">
        <v>118</v>
      </c>
      <c r="I58" s="19">
        <f>78000+78000+78000+78000+78000+78000</f>
        <v>468000</v>
      </c>
      <c r="J58" s="9"/>
    </row>
    <row r="59" spans="1:10" s="3" customFormat="1" ht="126.75" customHeight="1">
      <c r="A59" s="13" t="s">
        <v>179</v>
      </c>
      <c r="B59" s="14" t="s">
        <v>143</v>
      </c>
      <c r="C59" s="14" t="s">
        <v>144</v>
      </c>
      <c r="D59" s="15">
        <v>43466</v>
      </c>
      <c r="E59" s="15">
        <v>43555</v>
      </c>
      <c r="F59" s="16">
        <v>112500</v>
      </c>
      <c r="G59" s="17">
        <v>1</v>
      </c>
      <c r="H59" s="18" t="s">
        <v>178</v>
      </c>
      <c r="I59" s="19">
        <f>37500+37500+37500</f>
        <v>112500</v>
      </c>
      <c r="J59" s="9"/>
    </row>
    <row r="60" spans="1:10" s="3" customFormat="1" ht="84.75" customHeight="1">
      <c r="A60" s="13" t="s">
        <v>208</v>
      </c>
      <c r="B60" s="20" t="s">
        <v>209</v>
      </c>
      <c r="C60" s="20" t="s">
        <v>210</v>
      </c>
      <c r="D60" s="15">
        <v>43490</v>
      </c>
      <c r="E60" s="15">
        <v>43550</v>
      </c>
      <c r="F60" s="16">
        <v>13325</v>
      </c>
      <c r="G60" s="17">
        <v>1</v>
      </c>
      <c r="H60" s="18" t="s">
        <v>211</v>
      </c>
      <c r="I60" s="19">
        <f>6662.5+6662.5</f>
        <v>13325</v>
      </c>
      <c r="J60" s="9"/>
    </row>
    <row r="61" spans="1:10" s="3" customFormat="1" ht="67.5" customHeight="1">
      <c r="A61" s="13" t="s">
        <v>213</v>
      </c>
      <c r="B61" s="20" t="s">
        <v>209</v>
      </c>
      <c r="C61" s="20" t="s">
        <v>210</v>
      </c>
      <c r="D61" s="15">
        <v>43490</v>
      </c>
      <c r="E61" s="15">
        <v>43830</v>
      </c>
      <c r="F61" s="16">
        <v>100000</v>
      </c>
      <c r="G61" s="17">
        <v>1</v>
      </c>
      <c r="H61" s="18" t="s">
        <v>212</v>
      </c>
      <c r="I61" s="19">
        <f>9091+9090+0.9+9090.9+9090.9+9090.9</f>
        <v>45454.600000000006</v>
      </c>
      <c r="J61" s="9"/>
    </row>
    <row r="62" spans="1:10" s="3" customFormat="1" ht="126.75" customHeight="1">
      <c r="A62" s="13" t="s">
        <v>147</v>
      </c>
      <c r="B62" s="40" t="s">
        <v>57</v>
      </c>
      <c r="C62" s="40" t="s">
        <v>64</v>
      </c>
      <c r="D62" s="15">
        <v>43333</v>
      </c>
      <c r="E62" s="15" t="s">
        <v>148</v>
      </c>
      <c r="F62" s="16">
        <v>17499.34</v>
      </c>
      <c r="G62" s="17">
        <v>3</v>
      </c>
      <c r="H62" s="18" t="s">
        <v>180</v>
      </c>
      <c r="I62" s="19">
        <f>1458.37+1458.27+1458.27+1458.27+1458.27+1458.27+1458.27+1458.27+1458.27+1458.27</f>
        <v>14582.800000000003</v>
      </c>
      <c r="J62" s="9"/>
    </row>
    <row r="63" spans="1:10" s="3" customFormat="1" ht="126.75" customHeight="1">
      <c r="A63" s="13" t="s">
        <v>149</v>
      </c>
      <c r="B63" s="20" t="s">
        <v>62</v>
      </c>
      <c r="C63" s="20" t="s">
        <v>76</v>
      </c>
      <c r="D63" s="42">
        <v>43335</v>
      </c>
      <c r="E63" s="15" t="s">
        <v>150</v>
      </c>
      <c r="F63" s="16">
        <v>160000</v>
      </c>
      <c r="G63" s="17">
        <v>3</v>
      </c>
      <c r="H63" s="18" t="s">
        <v>151</v>
      </c>
      <c r="I63" s="19">
        <f>13370+13330+13330+13330+6653.84+6676.16+13330+13330+13330+13330+13330</f>
        <v>133340</v>
      </c>
      <c r="J63" s="9"/>
    </row>
    <row r="64" spans="1:10" s="3" customFormat="1" ht="126.75" customHeight="1">
      <c r="A64" s="13" t="s">
        <v>145</v>
      </c>
      <c r="B64" s="14" t="s">
        <v>143</v>
      </c>
      <c r="C64" s="14" t="s">
        <v>144</v>
      </c>
      <c r="D64" s="26">
        <v>43467</v>
      </c>
      <c r="E64" s="26">
        <v>43555</v>
      </c>
      <c r="F64" s="24">
        <v>37000</v>
      </c>
      <c r="G64" s="17">
        <v>1</v>
      </c>
      <c r="H64" s="27" t="s">
        <v>146</v>
      </c>
      <c r="I64" s="19">
        <f>12000+12500+12500</f>
        <v>37000</v>
      </c>
      <c r="J64" s="9"/>
    </row>
    <row r="65" spans="1:10" s="3" customFormat="1" ht="126.75" customHeight="1">
      <c r="A65" s="13" t="s">
        <v>134</v>
      </c>
      <c r="B65" s="43" t="s">
        <v>132</v>
      </c>
      <c r="C65" s="43" t="s">
        <v>133</v>
      </c>
      <c r="D65" s="15">
        <v>43311</v>
      </c>
      <c r="E65" s="15">
        <v>43465</v>
      </c>
      <c r="F65" s="16">
        <v>300000</v>
      </c>
      <c r="G65" s="17">
        <v>1</v>
      </c>
      <c r="H65" s="18" t="s">
        <v>135</v>
      </c>
      <c r="I65" s="19">
        <f>100000+20000+20000+20000+20000+20000</f>
        <v>200000</v>
      </c>
      <c r="J65" s="12"/>
    </row>
    <row r="66" spans="1:10" s="3" customFormat="1" ht="126.75" customHeight="1" thickBot="1">
      <c r="A66" s="13" t="s">
        <v>140</v>
      </c>
      <c r="B66" s="20" t="s">
        <v>58</v>
      </c>
      <c r="C66" s="20" t="s">
        <v>66</v>
      </c>
      <c r="D66" s="15">
        <v>43333</v>
      </c>
      <c r="E66" s="15" t="s">
        <v>141</v>
      </c>
      <c r="F66" s="16">
        <v>23763.68</v>
      </c>
      <c r="G66" s="17">
        <v>3</v>
      </c>
      <c r="H66" s="18" t="s">
        <v>142</v>
      </c>
      <c r="I66" s="19">
        <f>4755.68+4752+4752+4752+4752</f>
        <v>23763.68</v>
      </c>
      <c r="J66" s="9"/>
    </row>
    <row r="67" spans="1:10" s="3" customFormat="1" ht="46.5" customHeight="1" thickTop="1">
      <c r="A67" s="96" t="s">
        <v>42</v>
      </c>
      <c r="B67" s="67" t="s">
        <v>58</v>
      </c>
      <c r="C67" s="67" t="s">
        <v>66</v>
      </c>
      <c r="D67" s="71">
        <v>43101</v>
      </c>
      <c r="E67" s="71">
        <v>43465</v>
      </c>
      <c r="F67" s="28">
        <v>114044.84</v>
      </c>
      <c r="G67" s="29">
        <v>1</v>
      </c>
      <c r="H67" s="69" t="s">
        <v>41</v>
      </c>
      <c r="I67" s="30">
        <f>9000+9000+9000+9000+9000+9000+9000+9000+9000+9000+12022.42+12022.42</f>
        <v>114044.84</v>
      </c>
      <c r="J67" s="9"/>
    </row>
    <row r="68" spans="1:10" s="3" customFormat="1" ht="51" customHeight="1">
      <c r="A68" s="96"/>
      <c r="B68" s="87"/>
      <c r="C68" s="87"/>
      <c r="D68" s="79"/>
      <c r="E68" s="79"/>
      <c r="F68" s="21">
        <v>14428.57</v>
      </c>
      <c r="G68" s="17">
        <v>2</v>
      </c>
      <c r="H68" s="98"/>
      <c r="I68" s="19">
        <f>2809.89+900+900+900+900+900+900+1800+3218.68+1200</f>
        <v>14428.57</v>
      </c>
      <c r="J68" s="9"/>
    </row>
    <row r="69" spans="1:10" s="3" customFormat="1" ht="55.5" customHeight="1" thickBot="1">
      <c r="A69" s="96"/>
      <c r="B69" s="78"/>
      <c r="C69" s="78"/>
      <c r="D69" s="82"/>
      <c r="E69" s="82"/>
      <c r="F69" s="31">
        <v>130726.59</v>
      </c>
      <c r="G69" s="17">
        <v>5</v>
      </c>
      <c r="H69" s="68"/>
      <c r="I69" s="19">
        <f>10000+10000+10000+10000+10000+10000+10000+10000+10000+10000+15000+15726.59</f>
        <v>130726.59</v>
      </c>
      <c r="J69" s="9"/>
    </row>
    <row r="70" spans="1:10" s="3" customFormat="1" ht="40.5" customHeight="1" thickTop="1">
      <c r="A70" s="96" t="s">
        <v>36</v>
      </c>
      <c r="B70" s="77" t="s">
        <v>62</v>
      </c>
      <c r="C70" s="77" t="s">
        <v>76</v>
      </c>
      <c r="D70" s="81">
        <v>43101</v>
      </c>
      <c r="E70" s="81">
        <v>43465</v>
      </c>
      <c r="F70" s="24">
        <v>80983.71</v>
      </c>
      <c r="G70" s="29">
        <v>1</v>
      </c>
      <c r="H70" s="69" t="s">
        <v>35</v>
      </c>
      <c r="I70" s="19">
        <f>6500+6500+6500+6500+6500+6500+6500+6500+6500+6500+7991.86+7991.85</f>
        <v>80983.71</v>
      </c>
      <c r="J70" s="9"/>
    </row>
    <row r="71" spans="1:10" s="3" customFormat="1" ht="40.5" customHeight="1">
      <c r="A71" s="96"/>
      <c r="B71" s="87"/>
      <c r="C71" s="87"/>
      <c r="D71" s="79"/>
      <c r="E71" s="79"/>
      <c r="F71" s="24">
        <v>14428.57</v>
      </c>
      <c r="G71" s="17">
        <v>2</v>
      </c>
      <c r="H71" s="98"/>
      <c r="I71" s="19">
        <f>2809.89+900+900+900+900+900+900+1800+3218.68+1200</f>
        <v>14428.57</v>
      </c>
      <c r="J71" s="9"/>
    </row>
    <row r="72" spans="1:10" s="3" customFormat="1" ht="40.5" customHeight="1">
      <c r="A72" s="96"/>
      <c r="B72" s="78"/>
      <c r="C72" s="78"/>
      <c r="D72" s="82"/>
      <c r="E72" s="82"/>
      <c r="F72" s="24">
        <v>62987.72</v>
      </c>
      <c r="G72" s="17">
        <v>5</v>
      </c>
      <c r="H72" s="68"/>
      <c r="I72" s="19">
        <f>4493.86+4493.86+3000+3000+3000+3000+3000+4000+7000+7000+7000+7000+7000</f>
        <v>62987.72</v>
      </c>
      <c r="J72" s="9"/>
    </row>
    <row r="73" spans="1:10" s="3" customFormat="1" ht="66" customHeight="1">
      <c r="A73" s="96" t="s">
        <v>119</v>
      </c>
      <c r="B73" s="88" t="s">
        <v>60</v>
      </c>
      <c r="C73" s="88" t="s">
        <v>67</v>
      </c>
      <c r="D73" s="81">
        <v>43467</v>
      </c>
      <c r="E73" s="81">
        <v>43830</v>
      </c>
      <c r="F73" s="24">
        <v>490000</v>
      </c>
      <c r="G73" s="17">
        <v>1</v>
      </c>
      <c r="H73" s="97" t="s">
        <v>120</v>
      </c>
      <c r="I73" s="19">
        <f>41200+40800+40800+40800</f>
        <v>163600</v>
      </c>
      <c r="J73" s="9"/>
    </row>
    <row r="74" spans="1:10" s="3" customFormat="1" ht="71.25" customHeight="1">
      <c r="A74" s="96"/>
      <c r="B74" s="88"/>
      <c r="C74" s="88"/>
      <c r="D74" s="82"/>
      <c r="E74" s="82"/>
      <c r="F74" s="24">
        <v>60000</v>
      </c>
      <c r="G74" s="17">
        <v>5</v>
      </c>
      <c r="H74" s="98"/>
      <c r="I74" s="19">
        <f>5000+5000+5000+5000</f>
        <v>20000</v>
      </c>
      <c r="J74" s="9"/>
    </row>
    <row r="75" spans="1:10" s="3" customFormat="1" ht="42" customHeight="1">
      <c r="A75" s="96" t="s">
        <v>38</v>
      </c>
      <c r="B75" s="88" t="s">
        <v>58</v>
      </c>
      <c r="C75" s="88" t="s">
        <v>66</v>
      </c>
      <c r="D75" s="81">
        <v>43101</v>
      </c>
      <c r="E75" s="81">
        <v>43465</v>
      </c>
      <c r="F75" s="24">
        <v>72314.29</v>
      </c>
      <c r="G75" s="17">
        <v>1</v>
      </c>
      <c r="H75" s="97" t="s">
        <v>37</v>
      </c>
      <c r="I75" s="19">
        <f>6314.29+6000+6000+6000+6000+6000+6000+6000+6000+6000+6000+6000</f>
        <v>72314.29000000001</v>
      </c>
      <c r="J75" s="9"/>
    </row>
    <row r="76" spans="1:10" s="3" customFormat="1" ht="42" customHeight="1">
      <c r="A76" s="96"/>
      <c r="B76" s="88"/>
      <c r="C76" s="88"/>
      <c r="D76" s="79"/>
      <c r="E76" s="79"/>
      <c r="F76" s="24">
        <v>14428.43</v>
      </c>
      <c r="G76" s="17">
        <v>2</v>
      </c>
      <c r="H76" s="98"/>
      <c r="I76" s="19">
        <f>2809.75+900+900+900+900+900+900+1800+3218.68+1200</f>
        <v>14428.43</v>
      </c>
      <c r="J76" s="9"/>
    </row>
    <row r="77" spans="1:10" s="3" customFormat="1" ht="42" customHeight="1">
      <c r="A77" s="96"/>
      <c r="B77" s="88"/>
      <c r="C77" s="88"/>
      <c r="D77" s="82"/>
      <c r="E77" s="82"/>
      <c r="F77" s="24">
        <v>18857.28</v>
      </c>
      <c r="G77" s="17">
        <v>5</v>
      </c>
      <c r="H77" s="68"/>
      <c r="I77" s="19">
        <f>2357.28+1500+1500+1500+1500+1500+1500+1500+1500+1500+1500+1500</f>
        <v>18857.28</v>
      </c>
      <c r="J77" s="9"/>
    </row>
    <row r="78" spans="1:10" s="3" customFormat="1" ht="86.25" customHeight="1">
      <c r="A78" s="13" t="s">
        <v>121</v>
      </c>
      <c r="B78" s="22" t="s">
        <v>33</v>
      </c>
      <c r="C78" s="22" t="s">
        <v>34</v>
      </c>
      <c r="D78" s="23">
        <v>43467</v>
      </c>
      <c r="E78" s="26">
        <v>43830</v>
      </c>
      <c r="F78" s="24">
        <v>234000</v>
      </c>
      <c r="G78" s="17">
        <v>1</v>
      </c>
      <c r="H78" s="44" t="s">
        <v>122</v>
      </c>
      <c r="I78" s="19">
        <f>12500+7000+19500+19500+19500+19500+19500</f>
        <v>117000</v>
      </c>
      <c r="J78" s="9"/>
    </row>
    <row r="79" spans="1:10" s="3" customFormat="1" ht="78" customHeight="1">
      <c r="A79" s="13" t="s">
        <v>0</v>
      </c>
      <c r="B79" s="22" t="s">
        <v>99</v>
      </c>
      <c r="C79" s="22" t="s">
        <v>100</v>
      </c>
      <c r="D79" s="23">
        <v>43467</v>
      </c>
      <c r="E79" s="26">
        <v>43830</v>
      </c>
      <c r="F79" s="24">
        <v>123876</v>
      </c>
      <c r="G79" s="17">
        <v>2</v>
      </c>
      <c r="H79" s="44" t="s">
        <v>123</v>
      </c>
      <c r="I79" s="19">
        <f>10323+10323+10323+10323+10323+10323</f>
        <v>61938</v>
      </c>
      <c r="J79" s="9"/>
    </row>
    <row r="80" spans="1:10" s="3" customFormat="1" ht="73.5" customHeight="1">
      <c r="A80" s="13" t="s">
        <v>1</v>
      </c>
      <c r="B80" s="22" t="s">
        <v>101</v>
      </c>
      <c r="C80" s="22" t="s">
        <v>102</v>
      </c>
      <c r="D80" s="23">
        <v>43467</v>
      </c>
      <c r="E80" s="26">
        <v>43830</v>
      </c>
      <c r="F80" s="24">
        <v>100440</v>
      </c>
      <c r="G80" s="17">
        <v>2</v>
      </c>
      <c r="H80" s="44" t="s">
        <v>2</v>
      </c>
      <c r="I80" s="19">
        <f>8370+8370+8370+8370+8370+8370</f>
        <v>50220</v>
      </c>
      <c r="J80" s="9"/>
    </row>
    <row r="81" spans="1:10" s="3" customFormat="1" ht="72.75" customHeight="1">
      <c r="A81" s="13" t="s">
        <v>5</v>
      </c>
      <c r="B81" s="22" t="s">
        <v>103</v>
      </c>
      <c r="C81" s="22" t="s">
        <v>104</v>
      </c>
      <c r="D81" s="23">
        <v>43467</v>
      </c>
      <c r="E81" s="26">
        <v>43830</v>
      </c>
      <c r="F81" s="24">
        <v>83700</v>
      </c>
      <c r="G81" s="17">
        <v>2</v>
      </c>
      <c r="H81" s="44" t="s">
        <v>6</v>
      </c>
      <c r="I81" s="19">
        <f>6975+6975+6975+6975+6975+6975</f>
        <v>41850</v>
      </c>
      <c r="J81" s="9"/>
    </row>
    <row r="82" spans="1:10" s="3" customFormat="1" ht="77.25" customHeight="1">
      <c r="A82" s="13" t="s">
        <v>3</v>
      </c>
      <c r="B82" s="22" t="s">
        <v>105</v>
      </c>
      <c r="C82" s="22" t="s">
        <v>106</v>
      </c>
      <c r="D82" s="23">
        <v>43467</v>
      </c>
      <c r="E82" s="26">
        <v>43830</v>
      </c>
      <c r="F82" s="24">
        <v>150660</v>
      </c>
      <c r="G82" s="17">
        <v>2</v>
      </c>
      <c r="H82" s="44" t="s">
        <v>4</v>
      </c>
      <c r="I82" s="19">
        <f>12555+12555+12555+12555+12555+12555</f>
        <v>75330</v>
      </c>
      <c r="J82" s="9"/>
    </row>
    <row r="83" spans="1:10" s="3" customFormat="1" ht="74.25" customHeight="1">
      <c r="A83" s="13" t="s">
        <v>7</v>
      </c>
      <c r="B83" s="22" t="s">
        <v>107</v>
      </c>
      <c r="C83" s="22" t="s">
        <v>108</v>
      </c>
      <c r="D83" s="23">
        <v>43466</v>
      </c>
      <c r="E83" s="26">
        <v>43830</v>
      </c>
      <c r="F83" s="24">
        <v>713124</v>
      </c>
      <c r="G83" s="17">
        <v>2</v>
      </c>
      <c r="H83" s="44" t="s">
        <v>8</v>
      </c>
      <c r="I83" s="19">
        <f>59427+59427+59427+59427+59427+59427</f>
        <v>356562</v>
      </c>
      <c r="J83" s="9"/>
    </row>
    <row r="84" spans="1:10" s="3" customFormat="1" ht="88.5" customHeight="1">
      <c r="A84" s="13" t="s">
        <v>9</v>
      </c>
      <c r="B84" s="22" t="s">
        <v>29</v>
      </c>
      <c r="C84" s="22" t="s">
        <v>30</v>
      </c>
      <c r="D84" s="23">
        <v>43466</v>
      </c>
      <c r="E84" s="26">
        <v>43830</v>
      </c>
      <c r="F84" s="24">
        <v>117180</v>
      </c>
      <c r="G84" s="17">
        <v>2</v>
      </c>
      <c r="H84" s="44" t="s">
        <v>10</v>
      </c>
      <c r="I84" s="19">
        <f>9765+9765+9765+9765+9765+9765</f>
        <v>58590</v>
      </c>
      <c r="J84" s="9"/>
    </row>
    <row r="85" spans="1:10" s="3" customFormat="1" ht="73.5" customHeight="1">
      <c r="A85" s="13" t="s">
        <v>11</v>
      </c>
      <c r="B85" s="22" t="s">
        <v>31</v>
      </c>
      <c r="C85" s="22" t="s">
        <v>32</v>
      </c>
      <c r="D85" s="23">
        <v>43466</v>
      </c>
      <c r="E85" s="26">
        <v>43830</v>
      </c>
      <c r="F85" s="24">
        <v>117180</v>
      </c>
      <c r="G85" s="17">
        <v>2</v>
      </c>
      <c r="H85" s="44" t="s">
        <v>12</v>
      </c>
      <c r="I85" s="19">
        <f>9765+9765+9765+9765+9765+9765</f>
        <v>58590</v>
      </c>
      <c r="J85" s="9"/>
    </row>
    <row r="86" spans="1:10" s="3" customFormat="1" ht="91.5" customHeight="1">
      <c r="A86" s="13" t="s">
        <v>13</v>
      </c>
      <c r="B86" s="22" t="s">
        <v>31</v>
      </c>
      <c r="C86" s="22" t="s">
        <v>32</v>
      </c>
      <c r="D86" s="23">
        <v>43466</v>
      </c>
      <c r="E86" s="26">
        <v>43830</v>
      </c>
      <c r="F86" s="24">
        <v>359340</v>
      </c>
      <c r="G86" s="17">
        <v>2</v>
      </c>
      <c r="H86" s="44" t="s">
        <v>14</v>
      </c>
      <c r="I86" s="19">
        <f>29945+29945+29945+29945+29945+29945</f>
        <v>179670</v>
      </c>
      <c r="J86" s="9"/>
    </row>
    <row r="87" spans="1:10" s="3" customFormat="1" ht="47.25" customHeight="1">
      <c r="A87" s="96" t="s">
        <v>40</v>
      </c>
      <c r="B87" s="77" t="s">
        <v>53</v>
      </c>
      <c r="C87" s="77" t="s">
        <v>54</v>
      </c>
      <c r="D87" s="81">
        <v>43101</v>
      </c>
      <c r="E87" s="81">
        <v>43465</v>
      </c>
      <c r="F87" s="24">
        <v>53114.29</v>
      </c>
      <c r="G87" s="17">
        <v>1</v>
      </c>
      <c r="H87" s="97" t="s">
        <v>39</v>
      </c>
      <c r="I87" s="19">
        <f>4500+4500+4500+4500+4500+4500+4500+4500+4500+4500+4500+3614.29</f>
        <v>53114.29</v>
      </c>
      <c r="J87" s="9"/>
    </row>
    <row r="88" spans="1:10" s="3" customFormat="1" ht="36" customHeight="1">
      <c r="A88" s="96"/>
      <c r="B88" s="87"/>
      <c r="C88" s="87"/>
      <c r="D88" s="79"/>
      <c r="E88" s="79"/>
      <c r="F88" s="24">
        <v>14428.57</v>
      </c>
      <c r="G88" s="17">
        <v>2</v>
      </c>
      <c r="H88" s="98"/>
      <c r="I88" s="19">
        <f>2809.89+900+900+900+900+900+900+1800+3218.68+1200</f>
        <v>14428.57</v>
      </c>
      <c r="J88" s="9"/>
    </row>
    <row r="89" spans="1:10" s="3" customFormat="1" ht="52.5" customHeight="1">
      <c r="A89" s="96"/>
      <c r="B89" s="78"/>
      <c r="C89" s="78"/>
      <c r="D89" s="82"/>
      <c r="E89" s="82"/>
      <c r="F89" s="24">
        <v>18857.14</v>
      </c>
      <c r="G89" s="17">
        <v>5</v>
      </c>
      <c r="H89" s="68"/>
      <c r="I89" s="32">
        <f>2357.14+1500+1500+1500+1500+1500+1500+1500+1500+1500+1500+1500</f>
        <v>18857.14</v>
      </c>
      <c r="J89" s="9"/>
    </row>
    <row r="90" spans="1:10" s="3" customFormat="1" ht="70.5" customHeight="1">
      <c r="A90" s="96" t="s">
        <v>98</v>
      </c>
      <c r="B90" s="77" t="s">
        <v>53</v>
      </c>
      <c r="C90" s="77" t="s">
        <v>54</v>
      </c>
      <c r="D90" s="81">
        <v>43101</v>
      </c>
      <c r="E90" s="81">
        <v>43465</v>
      </c>
      <c r="F90" s="24">
        <v>53114.29</v>
      </c>
      <c r="G90" s="17">
        <v>1</v>
      </c>
      <c r="H90" s="97" t="s">
        <v>71</v>
      </c>
      <c r="I90" s="19">
        <f>4500+4500+4500+4500+4500+4500+4500+4500+4500+4500+4500+3614.29</f>
        <v>53114.29</v>
      </c>
      <c r="J90" s="9"/>
    </row>
    <row r="91" spans="1:10" s="3" customFormat="1" ht="36" customHeight="1">
      <c r="A91" s="96"/>
      <c r="B91" s="87"/>
      <c r="C91" s="87"/>
      <c r="D91" s="79"/>
      <c r="E91" s="79"/>
      <c r="F91" s="24">
        <v>14428.57</v>
      </c>
      <c r="G91" s="17">
        <v>2</v>
      </c>
      <c r="H91" s="98"/>
      <c r="I91" s="19">
        <f>2809.89+900+900+900+900+900+900+1800+3218.68+1200</f>
        <v>14428.57</v>
      </c>
      <c r="J91" s="9"/>
    </row>
    <row r="92" spans="1:10" s="3" customFormat="1" ht="36" customHeight="1">
      <c r="A92" s="96"/>
      <c r="B92" s="78"/>
      <c r="C92" s="78"/>
      <c r="D92" s="82"/>
      <c r="E92" s="82"/>
      <c r="F92" s="24">
        <v>18857.14</v>
      </c>
      <c r="G92" s="17">
        <v>5</v>
      </c>
      <c r="H92" s="68"/>
      <c r="I92" s="32">
        <f>2357.14+1500+1500+1500+1500+1500+1500+1500+1500+1500+1500+1500</f>
        <v>18857.14</v>
      </c>
      <c r="J92" s="9"/>
    </row>
    <row r="93" spans="1:10" s="3" customFormat="1" ht="102" customHeight="1">
      <c r="A93" s="13" t="s">
        <v>23</v>
      </c>
      <c r="B93" s="34" t="s">
        <v>72</v>
      </c>
      <c r="C93" s="34" t="s">
        <v>73</v>
      </c>
      <c r="D93" s="23">
        <v>43466</v>
      </c>
      <c r="E93" s="23">
        <v>43830</v>
      </c>
      <c r="F93" s="24">
        <v>708696</v>
      </c>
      <c r="G93" s="17">
        <v>2</v>
      </c>
      <c r="H93" s="36" t="s">
        <v>24</v>
      </c>
      <c r="I93" s="19">
        <f>59058+59058+59058+59058+59058+59058</f>
        <v>354348</v>
      </c>
      <c r="J93" s="9"/>
    </row>
    <row r="94" spans="1:10" s="3" customFormat="1" ht="98.25" customHeight="1">
      <c r="A94" s="13" t="s">
        <v>21</v>
      </c>
      <c r="B94" s="22" t="s">
        <v>55</v>
      </c>
      <c r="C94" s="22" t="s">
        <v>56</v>
      </c>
      <c r="D94" s="23">
        <v>43466</v>
      </c>
      <c r="E94" s="23">
        <v>43830</v>
      </c>
      <c r="F94" s="24">
        <v>299712</v>
      </c>
      <c r="G94" s="17">
        <v>2</v>
      </c>
      <c r="H94" s="36" t="s">
        <v>22</v>
      </c>
      <c r="I94" s="19">
        <f>24976+24976+24976+24976+24976+24976</f>
        <v>149856</v>
      </c>
      <c r="J94" s="9"/>
    </row>
    <row r="95" spans="1:10" s="3" customFormat="1" ht="70.5" customHeight="1">
      <c r="A95" s="13" t="s">
        <v>20</v>
      </c>
      <c r="B95" s="22" t="s">
        <v>59</v>
      </c>
      <c r="C95" s="22" t="s">
        <v>65</v>
      </c>
      <c r="D95" s="23">
        <v>43466</v>
      </c>
      <c r="E95" s="23">
        <v>43830</v>
      </c>
      <c r="F95" s="24">
        <v>100440</v>
      </c>
      <c r="G95" s="17">
        <v>2</v>
      </c>
      <c r="H95" s="36" t="s">
        <v>19</v>
      </c>
      <c r="I95" s="19">
        <f>8370+8370+8370+8370+8370+8370</f>
        <v>50220</v>
      </c>
      <c r="J95" s="9"/>
    </row>
    <row r="96" spans="1:10" s="3" customFormat="1" ht="76.5" customHeight="1">
      <c r="A96" s="13" t="s">
        <v>17</v>
      </c>
      <c r="B96" s="22" t="s">
        <v>55</v>
      </c>
      <c r="C96" s="22" t="s">
        <v>56</v>
      </c>
      <c r="D96" s="23">
        <v>43466</v>
      </c>
      <c r="E96" s="23">
        <v>43830</v>
      </c>
      <c r="F96" s="24">
        <v>200880</v>
      </c>
      <c r="G96" s="17">
        <v>2</v>
      </c>
      <c r="H96" s="36" t="s">
        <v>18</v>
      </c>
      <c r="I96" s="19">
        <f>16740+16740+16740+16740+16740+16740</f>
        <v>100440</v>
      </c>
      <c r="J96" s="9"/>
    </row>
    <row r="97" spans="1:10" s="3" customFormat="1" ht="36" customHeight="1">
      <c r="A97" s="96" t="s">
        <v>43</v>
      </c>
      <c r="B97" s="77" t="s">
        <v>62</v>
      </c>
      <c r="C97" s="77" t="s">
        <v>69</v>
      </c>
      <c r="D97" s="81">
        <v>43101</v>
      </c>
      <c r="E97" s="81">
        <v>43465</v>
      </c>
      <c r="F97" s="24">
        <v>53114.3</v>
      </c>
      <c r="G97" s="17">
        <v>1</v>
      </c>
      <c r="H97" s="97" t="s">
        <v>74</v>
      </c>
      <c r="I97" s="19">
        <f>4500+4500+4500+4500+4500+4500+4500+4500+4500+4500+4500+3614.3</f>
        <v>53114.3</v>
      </c>
      <c r="J97" s="9"/>
    </row>
    <row r="98" spans="1:10" s="3" customFormat="1" ht="36" customHeight="1">
      <c r="A98" s="96"/>
      <c r="B98" s="87"/>
      <c r="C98" s="87"/>
      <c r="D98" s="79"/>
      <c r="E98" s="79"/>
      <c r="F98" s="24">
        <v>14428.71</v>
      </c>
      <c r="G98" s="17">
        <v>2</v>
      </c>
      <c r="H98" s="98"/>
      <c r="I98" s="19">
        <f>2809.89+900+900+900+900+900+900+1800+3218.82+1200</f>
        <v>14428.71</v>
      </c>
      <c r="J98" s="9"/>
    </row>
    <row r="99" spans="1:10" s="3" customFormat="1" ht="36" customHeight="1">
      <c r="A99" s="96"/>
      <c r="B99" s="78"/>
      <c r="C99" s="78"/>
      <c r="D99" s="82"/>
      <c r="E99" s="82"/>
      <c r="F99" s="24">
        <v>18856.99</v>
      </c>
      <c r="G99" s="17">
        <v>5</v>
      </c>
      <c r="H99" s="68"/>
      <c r="I99" s="19">
        <f>2356.99+1500+1500+1500+1500+1500+1500+1500+1500+1500+1500+1500</f>
        <v>18856.989999999998</v>
      </c>
      <c r="J99" s="9"/>
    </row>
    <row r="100" spans="1:10" s="3" customFormat="1" ht="26.25" customHeight="1">
      <c r="A100" s="96" t="s">
        <v>44</v>
      </c>
      <c r="B100" s="77" t="s">
        <v>62</v>
      </c>
      <c r="C100" s="77" t="s">
        <v>76</v>
      </c>
      <c r="D100" s="81">
        <v>43101</v>
      </c>
      <c r="E100" s="81">
        <v>43465</v>
      </c>
      <c r="F100" s="24">
        <v>53114.29</v>
      </c>
      <c r="G100" s="17">
        <v>1</v>
      </c>
      <c r="H100" s="97" t="s">
        <v>75</v>
      </c>
      <c r="I100" s="19">
        <f>4500+4500+4500+4500+4500+4500+4500+4500+4500+4500+4500+3614.29</f>
        <v>53114.29</v>
      </c>
      <c r="J100" s="9"/>
    </row>
    <row r="101" spans="1:10" s="3" customFormat="1" ht="26.25" customHeight="1">
      <c r="A101" s="96"/>
      <c r="B101" s="87"/>
      <c r="C101" s="87"/>
      <c r="D101" s="79"/>
      <c r="E101" s="79"/>
      <c r="F101" s="24">
        <v>14428.57</v>
      </c>
      <c r="G101" s="17">
        <v>2</v>
      </c>
      <c r="H101" s="98"/>
      <c r="I101" s="19">
        <f>2809.89+900+900+900+900+900+900+1800+3218.68+1200</f>
        <v>14428.57</v>
      </c>
      <c r="J101" s="9"/>
    </row>
    <row r="102" spans="1:10" s="3" customFormat="1" ht="43.5" customHeight="1">
      <c r="A102" s="96"/>
      <c r="B102" s="78"/>
      <c r="C102" s="78"/>
      <c r="D102" s="82"/>
      <c r="E102" s="82"/>
      <c r="F102" s="24">
        <v>18857.14</v>
      </c>
      <c r="G102" s="17">
        <v>5</v>
      </c>
      <c r="H102" s="68"/>
      <c r="I102" s="19">
        <f>2357.14+1500+1500+1500+1500+1500+1500+1500+1500+1500+1500+1500</f>
        <v>18857.14</v>
      </c>
      <c r="J102" s="9"/>
    </row>
    <row r="103" spans="1:10" s="3" customFormat="1" ht="107.25" customHeight="1">
      <c r="A103" s="13" t="s">
        <v>25</v>
      </c>
      <c r="B103" s="22" t="s">
        <v>61</v>
      </c>
      <c r="C103" s="22" t="s">
        <v>68</v>
      </c>
      <c r="D103" s="23">
        <v>43466</v>
      </c>
      <c r="E103" s="23">
        <v>43830</v>
      </c>
      <c r="F103" s="24">
        <v>426816</v>
      </c>
      <c r="G103" s="17">
        <v>2</v>
      </c>
      <c r="H103" s="36" t="s">
        <v>26</v>
      </c>
      <c r="I103" s="19">
        <f>35568+35568+35568+35568+35568+35568</f>
        <v>213408</v>
      </c>
      <c r="J103" s="9"/>
    </row>
    <row r="104" spans="1:10" s="3" customFormat="1" ht="128.25" customHeight="1">
      <c r="A104" s="45" t="s">
        <v>130</v>
      </c>
      <c r="B104" s="45" t="s">
        <v>77</v>
      </c>
      <c r="C104" s="46" t="s">
        <v>78</v>
      </c>
      <c r="D104" s="47">
        <v>43466</v>
      </c>
      <c r="E104" s="47">
        <v>43830</v>
      </c>
      <c r="F104" s="48">
        <f>300000+50000</f>
        <v>350000</v>
      </c>
      <c r="G104" s="49">
        <v>1</v>
      </c>
      <c r="H104" s="50" t="s">
        <v>131</v>
      </c>
      <c r="I104" s="51">
        <f>100000+20000+20000+20000+20000+50000+20000</f>
        <v>250000</v>
      </c>
      <c r="J104" s="9"/>
    </row>
    <row r="105" spans="1:10" s="3" customFormat="1" ht="79.5" customHeight="1">
      <c r="A105" s="45" t="s">
        <v>136</v>
      </c>
      <c r="B105" s="45" t="s">
        <v>79</v>
      </c>
      <c r="C105" s="46" t="s">
        <v>80</v>
      </c>
      <c r="D105" s="47">
        <v>43466</v>
      </c>
      <c r="E105" s="47">
        <v>43830</v>
      </c>
      <c r="F105" s="48">
        <v>156000</v>
      </c>
      <c r="G105" s="49">
        <v>1</v>
      </c>
      <c r="H105" s="50" t="s">
        <v>137</v>
      </c>
      <c r="I105" s="51">
        <f>56000+10000+10000+10000+10000+10000</f>
        <v>106000</v>
      </c>
      <c r="J105" s="9"/>
    </row>
    <row r="106" spans="1:10" s="3" customFormat="1" ht="87" customHeight="1">
      <c r="A106" s="45" t="s">
        <v>126</v>
      </c>
      <c r="B106" s="45" t="s">
        <v>81</v>
      </c>
      <c r="C106" s="46" t="s">
        <v>82</v>
      </c>
      <c r="D106" s="47">
        <v>43466</v>
      </c>
      <c r="E106" s="47">
        <v>43830</v>
      </c>
      <c r="F106" s="48">
        <v>200000</v>
      </c>
      <c r="G106" s="49">
        <v>1</v>
      </c>
      <c r="H106" s="50" t="s">
        <v>127</v>
      </c>
      <c r="I106" s="51">
        <f>100000+10000+10000+10000+10000+10000</f>
        <v>150000</v>
      </c>
      <c r="J106" s="9"/>
    </row>
    <row r="107" spans="1:10" s="3" customFormat="1" ht="79.5" customHeight="1">
      <c r="A107" s="45" t="s">
        <v>128</v>
      </c>
      <c r="B107" s="45" t="s">
        <v>83</v>
      </c>
      <c r="C107" s="46" t="s">
        <v>84</v>
      </c>
      <c r="D107" s="47">
        <v>43466</v>
      </c>
      <c r="E107" s="47">
        <v>43830</v>
      </c>
      <c r="F107" s="48">
        <v>168000</v>
      </c>
      <c r="G107" s="49">
        <v>1</v>
      </c>
      <c r="H107" s="50" t="s">
        <v>129</v>
      </c>
      <c r="I107" s="51">
        <f>68000+10000+10000+10000+10000+10000</f>
        <v>118000</v>
      </c>
      <c r="J107" s="9"/>
    </row>
    <row r="108" spans="1:10" s="3" customFormat="1" ht="79.5" customHeight="1">
      <c r="A108" s="45" t="s">
        <v>27</v>
      </c>
      <c r="B108" s="52" t="s">
        <v>85</v>
      </c>
      <c r="C108" s="53" t="s">
        <v>86</v>
      </c>
      <c r="D108" s="41">
        <v>43466</v>
      </c>
      <c r="E108" s="47">
        <v>43830</v>
      </c>
      <c r="F108" s="48">
        <v>960000</v>
      </c>
      <c r="G108" s="49">
        <v>1</v>
      </c>
      <c r="H108" s="54" t="s">
        <v>28</v>
      </c>
      <c r="I108" s="51">
        <f>80000+80000+80000+80000+80000+80000</f>
        <v>480000</v>
      </c>
      <c r="J108" s="9"/>
    </row>
    <row r="109" spans="1:10" s="3" customFormat="1" ht="159" customHeight="1">
      <c r="A109" s="45" t="s">
        <v>124</v>
      </c>
      <c r="B109" s="45" t="s">
        <v>79</v>
      </c>
      <c r="C109" s="46" t="s">
        <v>80</v>
      </c>
      <c r="D109" s="41">
        <v>43466</v>
      </c>
      <c r="E109" s="47">
        <v>43830</v>
      </c>
      <c r="F109" s="48">
        <v>156000</v>
      </c>
      <c r="G109" s="49">
        <v>1</v>
      </c>
      <c r="H109" s="50" t="s">
        <v>125</v>
      </c>
      <c r="I109" s="51">
        <f>56000+10000+10000+10000+10000+10000</f>
        <v>106000</v>
      </c>
      <c r="J109" s="9"/>
    </row>
    <row r="110" spans="1:10" s="3" customFormat="1" ht="87" customHeight="1">
      <c r="A110" s="45" t="s">
        <v>15</v>
      </c>
      <c r="B110" s="45" t="s">
        <v>87</v>
      </c>
      <c r="C110" s="46" t="s">
        <v>88</v>
      </c>
      <c r="D110" s="47">
        <v>43467</v>
      </c>
      <c r="E110" s="47">
        <v>43708</v>
      </c>
      <c r="F110" s="48">
        <f>33330+109989</f>
        <v>143319</v>
      </c>
      <c r="G110" s="49">
        <v>1</v>
      </c>
      <c r="H110" s="50" t="s">
        <v>16</v>
      </c>
      <c r="I110" s="51">
        <f>33330+36663+36663</f>
        <v>106656</v>
      </c>
      <c r="J110" s="9"/>
    </row>
    <row r="111" spans="1:10" s="3" customFormat="1" ht="88.5" customHeight="1">
      <c r="A111" s="45" t="s">
        <v>138</v>
      </c>
      <c r="B111" s="45" t="s">
        <v>89</v>
      </c>
      <c r="C111" s="46" t="s">
        <v>90</v>
      </c>
      <c r="D111" s="47">
        <v>43466</v>
      </c>
      <c r="E111" s="47">
        <v>43830</v>
      </c>
      <c r="F111" s="48">
        <v>230000</v>
      </c>
      <c r="G111" s="49">
        <v>1</v>
      </c>
      <c r="H111" s="50" t="s">
        <v>139</v>
      </c>
      <c r="I111" s="51">
        <f>54000+16000+16000+16000+16000+16000</f>
        <v>134000</v>
      </c>
      <c r="J111" s="9"/>
    </row>
    <row r="112" spans="1:10" s="3" customFormat="1" ht="93" customHeight="1">
      <c r="A112" s="45" t="s">
        <v>231</v>
      </c>
      <c r="B112" s="55" t="s">
        <v>91</v>
      </c>
      <c r="C112" s="56" t="s">
        <v>92</v>
      </c>
      <c r="D112" s="47">
        <v>42979</v>
      </c>
      <c r="E112" s="47">
        <v>43708</v>
      </c>
      <c r="F112" s="48">
        <f>73600+114840+2586</f>
        <v>191026</v>
      </c>
      <c r="G112" s="49">
        <v>2</v>
      </c>
      <c r="H112" s="50" t="s">
        <v>232</v>
      </c>
      <c r="I112" s="51">
        <f>54000+16000+16000+9570+9570+9570+9570</f>
        <v>124280</v>
      </c>
      <c r="J112" s="9"/>
    </row>
    <row r="113" spans="1:10" s="3" customFormat="1" ht="30" customHeight="1" thickBot="1">
      <c r="A113" s="60"/>
      <c r="B113" s="60"/>
      <c r="C113" s="61"/>
      <c r="D113" s="62"/>
      <c r="E113" s="63"/>
      <c r="F113" s="64"/>
      <c r="G113" s="65"/>
      <c r="H113" s="66"/>
      <c r="I113" s="64">
        <f>SUM(I5:I112)</f>
        <v>9874708.559999999</v>
      </c>
      <c r="J113" s="9"/>
    </row>
    <row r="114" spans="1:10" ht="36.75" customHeight="1" thickTop="1">
      <c r="A114" s="95" t="s">
        <v>226</v>
      </c>
      <c r="B114" s="95"/>
      <c r="C114" s="95"/>
      <c r="D114" s="95"/>
      <c r="E114" s="95"/>
      <c r="F114" s="95"/>
      <c r="G114" s="95"/>
      <c r="H114" s="95"/>
      <c r="I114" s="95"/>
      <c r="J114" s="9"/>
    </row>
    <row r="115" spans="8:10" ht="36.75" customHeight="1">
      <c r="H115" s="10"/>
      <c r="J115" s="9"/>
    </row>
    <row r="116" ht="36.75" customHeight="1">
      <c r="J116" s="9"/>
    </row>
    <row r="117" ht="36.75" customHeight="1">
      <c r="J117" s="9"/>
    </row>
    <row r="118" spans="7:10" ht="36.75" customHeight="1">
      <c r="G118" s="11"/>
      <c r="J118" s="9"/>
    </row>
    <row r="119" spans="7:10" ht="36.75" customHeight="1">
      <c r="G119" s="11"/>
      <c r="J119" s="9"/>
    </row>
    <row r="120" ht="36.75" customHeight="1">
      <c r="J120" s="9"/>
    </row>
    <row r="121" ht="36.75" customHeight="1">
      <c r="J121" s="9"/>
    </row>
    <row r="122" ht="36.75" customHeight="1">
      <c r="J122" s="9"/>
    </row>
    <row r="123" ht="36.75" customHeight="1">
      <c r="J123" s="9"/>
    </row>
    <row r="124" ht="36.75" customHeight="1">
      <c r="J124" s="9"/>
    </row>
    <row r="125" ht="36.75" customHeight="1">
      <c r="J125" s="9"/>
    </row>
    <row r="126" ht="36.75" customHeight="1">
      <c r="J126" s="9"/>
    </row>
    <row r="127" ht="36.75" customHeight="1">
      <c r="J127" s="9"/>
    </row>
    <row r="128" ht="36.75" customHeight="1">
      <c r="J128" s="9"/>
    </row>
    <row r="129" ht="36.75" customHeight="1">
      <c r="J129" s="9"/>
    </row>
    <row r="130" ht="36.75" customHeight="1">
      <c r="J130" s="9"/>
    </row>
    <row r="131" ht="36.75" customHeight="1">
      <c r="J131" s="9"/>
    </row>
    <row r="132" ht="36.75" customHeight="1">
      <c r="J132" s="9"/>
    </row>
    <row r="133" ht="36.75" customHeight="1">
      <c r="J133" s="9"/>
    </row>
    <row r="134" ht="36.75" customHeight="1">
      <c r="J134" s="9"/>
    </row>
    <row r="135" ht="36.75" customHeight="1">
      <c r="J135" s="9"/>
    </row>
    <row r="136" ht="36.75" customHeight="1">
      <c r="J136" s="9"/>
    </row>
    <row r="137" ht="36.75" customHeight="1">
      <c r="J137" s="9"/>
    </row>
    <row r="138" ht="36.75" customHeight="1">
      <c r="J138" s="9"/>
    </row>
    <row r="139" ht="36.75" customHeight="1">
      <c r="J139" s="9"/>
    </row>
    <row r="140" ht="36.75" customHeight="1">
      <c r="J140" s="9"/>
    </row>
    <row r="141" ht="36.75" customHeight="1">
      <c r="J141" s="9"/>
    </row>
    <row r="142" ht="36.75" customHeight="1">
      <c r="J142" s="9"/>
    </row>
    <row r="143" ht="36.75" customHeight="1">
      <c r="J143" s="9"/>
    </row>
    <row r="144" ht="36.75" customHeight="1">
      <c r="J144" s="9"/>
    </row>
    <row r="145" ht="36.75" customHeight="1">
      <c r="J145" s="9"/>
    </row>
    <row r="146" ht="36.75" customHeight="1">
      <c r="J146" s="9"/>
    </row>
    <row r="147" ht="36.75" customHeight="1">
      <c r="J147" s="9"/>
    </row>
    <row r="148" ht="36.75" customHeight="1">
      <c r="J148" s="9"/>
    </row>
    <row r="149" ht="36.75" customHeight="1">
      <c r="J149" s="9"/>
    </row>
  </sheetData>
  <sheetProtection selectLockedCells="1" selectUnlockedCells="1"/>
  <mergeCells count="136">
    <mergeCell ref="E43:E44"/>
    <mergeCell ref="H43:H44"/>
    <mergeCell ref="A43:A44"/>
    <mergeCell ref="B43:B44"/>
    <mergeCell ref="C43:C44"/>
    <mergeCell ref="D43:D44"/>
    <mergeCell ref="H97:H99"/>
    <mergeCell ref="B90:B92"/>
    <mergeCell ref="C90:C92"/>
    <mergeCell ref="H16:H17"/>
    <mergeCell ref="C16:C17"/>
    <mergeCell ref="D16:D17"/>
    <mergeCell ref="E16:E17"/>
    <mergeCell ref="H67:H69"/>
    <mergeCell ref="H75:H77"/>
    <mergeCell ref="B97:B99"/>
    <mergeCell ref="A70:A72"/>
    <mergeCell ref="B70:B72"/>
    <mergeCell ref="C70:C72"/>
    <mergeCell ref="H70:H72"/>
    <mergeCell ref="D70:D72"/>
    <mergeCell ref="E70:E72"/>
    <mergeCell ref="A100:A102"/>
    <mergeCell ref="B100:B102"/>
    <mergeCell ref="C100:C102"/>
    <mergeCell ref="H100:H102"/>
    <mergeCell ref="E100:E102"/>
    <mergeCell ref="D100:D102"/>
    <mergeCell ref="C97:C99"/>
    <mergeCell ref="A97:A99"/>
    <mergeCell ref="E97:E99"/>
    <mergeCell ref="D97:D99"/>
    <mergeCell ref="A90:A92"/>
    <mergeCell ref="H90:H92"/>
    <mergeCell ref="A87:A89"/>
    <mergeCell ref="D87:D89"/>
    <mergeCell ref="E87:E89"/>
    <mergeCell ref="H87:H89"/>
    <mergeCell ref="B87:B89"/>
    <mergeCell ref="C87:C89"/>
    <mergeCell ref="A55:A57"/>
    <mergeCell ref="A67:A69"/>
    <mergeCell ref="B67:B69"/>
    <mergeCell ref="C67:C69"/>
    <mergeCell ref="B55:B57"/>
    <mergeCell ref="C55:C57"/>
    <mergeCell ref="A1:I1"/>
    <mergeCell ref="A2:I2"/>
    <mergeCell ref="A3:I3"/>
    <mergeCell ref="E52:E54"/>
    <mergeCell ref="H52:H54"/>
    <mergeCell ref="C52:C54"/>
    <mergeCell ref="D52:D54"/>
    <mergeCell ref="A52:A54"/>
    <mergeCell ref="A16:A17"/>
    <mergeCell ref="B16:B17"/>
    <mergeCell ref="A114:I114"/>
    <mergeCell ref="A73:A74"/>
    <mergeCell ref="B73:B74"/>
    <mergeCell ref="C73:C74"/>
    <mergeCell ref="D73:D74"/>
    <mergeCell ref="E73:E74"/>
    <mergeCell ref="H73:H74"/>
    <mergeCell ref="A75:A77"/>
    <mergeCell ref="D90:D92"/>
    <mergeCell ref="E90:E92"/>
    <mergeCell ref="B75:B77"/>
    <mergeCell ref="C75:C77"/>
    <mergeCell ref="H55:H57"/>
    <mergeCell ref="B52:B54"/>
    <mergeCell ref="D55:D57"/>
    <mergeCell ref="E55:E57"/>
    <mergeCell ref="D67:D69"/>
    <mergeCell ref="E67:E69"/>
    <mergeCell ref="D75:D77"/>
    <mergeCell ref="E75:E77"/>
    <mergeCell ref="A14:A15"/>
    <mergeCell ref="B14:B15"/>
    <mergeCell ref="C14:C15"/>
    <mergeCell ref="D14:D15"/>
    <mergeCell ref="E24:E26"/>
    <mergeCell ref="H24:H26"/>
    <mergeCell ref="A21:A23"/>
    <mergeCell ref="B21:B23"/>
    <mergeCell ref="A24:A26"/>
    <mergeCell ref="B24:B26"/>
    <mergeCell ref="C24:C26"/>
    <mergeCell ref="D24:D26"/>
    <mergeCell ref="E21:E23"/>
    <mergeCell ref="H21:H23"/>
    <mergeCell ref="C21:C23"/>
    <mergeCell ref="D21:D23"/>
    <mergeCell ref="E18:E20"/>
    <mergeCell ref="H18:H20"/>
    <mergeCell ref="C18:C20"/>
    <mergeCell ref="D18:D20"/>
    <mergeCell ref="E11:E13"/>
    <mergeCell ref="H11:H13"/>
    <mergeCell ref="A18:A20"/>
    <mergeCell ref="B18:B20"/>
    <mergeCell ref="A11:A13"/>
    <mergeCell ref="B11:B13"/>
    <mergeCell ref="C11:C13"/>
    <mergeCell ref="D11:D13"/>
    <mergeCell ref="E14:E15"/>
    <mergeCell ref="H14:H15"/>
    <mergeCell ref="A9:A10"/>
    <mergeCell ref="B9:B10"/>
    <mergeCell ref="C9:C10"/>
    <mergeCell ref="D9:D10"/>
    <mergeCell ref="E9:E10"/>
    <mergeCell ref="H9:H10"/>
    <mergeCell ref="B7:B8"/>
    <mergeCell ref="C7:C8"/>
    <mergeCell ref="A7:A8"/>
    <mergeCell ref="D7:D8"/>
    <mergeCell ref="E7:E8"/>
    <mergeCell ref="H7:H8"/>
    <mergeCell ref="A45:A46"/>
    <mergeCell ref="B45:B46"/>
    <mergeCell ref="C45:C46"/>
    <mergeCell ref="D45:D46"/>
    <mergeCell ref="C47:C48"/>
    <mergeCell ref="D47:D48"/>
    <mergeCell ref="E45:E46"/>
    <mergeCell ref="H45:H46"/>
    <mergeCell ref="E47:E48"/>
    <mergeCell ref="H47:H48"/>
    <mergeCell ref="A49:A50"/>
    <mergeCell ref="B49:B50"/>
    <mergeCell ref="C49:C50"/>
    <mergeCell ref="D49:D50"/>
    <mergeCell ref="E49:E50"/>
    <mergeCell ref="H49:H50"/>
    <mergeCell ref="A47:A48"/>
    <mergeCell ref="B47:B48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47" r:id="rId1"/>
  <headerFooter alignWithMargins="0">
    <oddFooter>&amp;CPágina &amp;P de &amp;N</oddFooter>
  </headerFooter>
  <rowBreaks count="7" manualBreakCount="7">
    <brk id="17" max="8" man="1"/>
    <brk id="41" max="8" man="1"/>
    <brk id="57" max="8" man="1"/>
    <brk id="72" max="8" man="1"/>
    <brk id="77" max="8" man="1"/>
    <brk id="92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lmalmeida</cp:lastModifiedBy>
  <cp:lastPrinted>2019-06-13T13:36:38Z</cp:lastPrinted>
  <dcterms:created xsi:type="dcterms:W3CDTF">2015-02-23T14:18:13Z</dcterms:created>
  <dcterms:modified xsi:type="dcterms:W3CDTF">2019-07-11T12:13:45Z</dcterms:modified>
  <cp:category/>
  <cp:version/>
  <cp:contentType/>
  <cp:contentStatus/>
</cp:coreProperties>
</file>