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2" activeTab="0"/>
  </bookViews>
  <sheets>
    <sheet name="Outubro 2018" sheetId="1" r:id="rId1"/>
  </sheets>
  <definedNames>
    <definedName name="_xlnm.Print_Area" localSheetId="0">'Outubro 2018'!$A$1:$I$95</definedName>
    <definedName name="Excel_BuiltIn_Print_Titles_3">NA()</definedName>
    <definedName name="Excel_BuiltIn_Print_Titles_3_1">NA()</definedName>
    <definedName name="Excel_BuiltIn_Print_Titles_3_1_1">NA()</definedName>
    <definedName name="Excel_BuiltIn_Print_Titles_3_1_1_1">NA()</definedName>
    <definedName name="Excel_BuiltIn_Print_Titles_3_1_1_1_1">NA()</definedName>
    <definedName name="Excel_BuiltIn_Print_Titles_5">NA()</definedName>
    <definedName name="Excel_BuiltIn_Print_Titles_6">NA()</definedName>
    <definedName name="_xlnm.Print_Titles" localSheetId="0">'Outubro 2018'!$1:$4</definedName>
  </definedNames>
  <calcPr fullCalcOnLoad="1"/>
</workbook>
</file>

<file path=xl/sharedStrings.xml><?xml version="1.0" encoding="utf-8"?>
<sst xmlns="http://schemas.openxmlformats.org/spreadsheetml/2006/main" count="285" uniqueCount="233">
  <si>
    <t>1º Termo Aditivo 
013/2017 - FUNDEB - 
Processo: 37.761/2016
Edital Chamamento: 012/2016</t>
  </si>
  <si>
    <t>Associação dos Moradores e amigos do Jardim Maristela II - AMAM II - CNPJ 07.871.604/0001-52</t>
  </si>
  <si>
    <t>Rua cinco, 300, Jardim Maristela II - Atibaia/SP</t>
  </si>
  <si>
    <t>Gestão do Programa Creche Comunitária no Bairro Maristela II, visando o atendimento de 35 (trinta e cinco) crianças em idade de 2 anos a 3 anos de idade.</t>
  </si>
  <si>
    <t>1º Termo Aditivo 
014/2017 - FUNDEB -
Processo: 37.223/2016
Edital Chamamento: 004/2016</t>
  </si>
  <si>
    <t>Associação de Moradores e Amigos do Bairro do Tanque – CNPJ 04.792.846/0001-62</t>
  </si>
  <si>
    <t>Rua Cristiano Krisberi, 173, Jardim Paraíso – Bairro do Tanque – Atibaia/SP</t>
  </si>
  <si>
    <t>Gestão do Programa Creche Comunitária no Bairro do Laranjal, visando o atendimento de 50 (cinquenta) crianças em idade de 2 anos a 5 anos de idade.</t>
  </si>
  <si>
    <t>1º Termo Aditivo
015/2017 - FUNDEB - 
Processo: 37.363/2016
Edital Chamamento: 007/2016</t>
  </si>
  <si>
    <t>Gestão do Programa Creche Comunitária no Bairro do Tanque, visando o atendimento de 35 (trinta e cinco) crianças em idade de 6 meses a 1 ano e 11 meses e 50 (cinquenta) crianças de 2 anos a 3 anos de idade, totalizando 85 (oitenta e cinco) crianças.</t>
  </si>
  <si>
    <t>1º Termo Aditivo
016/2017 - FUNDEB - 
Processo: 37.224/2016
Edital Chamamento: 001/2016</t>
  </si>
  <si>
    <t>AMICRI - Associação Amigos da Criança de Atibaia - CNPJ 00.644.883/0001-72</t>
  </si>
  <si>
    <t>Rua Sebastião Cesar, 118, Parque dos Coqueiros - Atibaia/SP</t>
  </si>
  <si>
    <t>Executar o Projeto de Escuta Qualificada e Proteção a Crianças e Adolescentes Vítimas de Violência Sexual, bem como acompanhamento pscicossocial.</t>
  </si>
  <si>
    <t>1º Termo Aditivo 
007/2017 - SADS - 
Processo: 36.520/2016
Edital Chamamento: 008/2016</t>
  </si>
  <si>
    <t>Executar o Projeto “Centro de Apoio à Criança Ninho de Luz- CAC”, visando a gestão de uma unidade institucional para crianças e adolescentes de zero a dezoito anos incompletos, de ambos os sexos, inclusive com deficiência quando houver demanda, sob medida de proteção (art. 98 - ECA), para até 20 (vinte) crianças e adolescentes, em risco pessoal e social, residentes exclusivamente no município de Atibaia, em caráter provisório e excepcional, em regime ininterrupto de 24 horas</t>
  </si>
  <si>
    <t>1º Termo Aditivo 003/2017 - SADS - 
Processo: 36.511/2016
Edital Chamamento: 001/2016</t>
  </si>
  <si>
    <t>Executar o Projeto “Orgulho de Ser”, visando a gestão dos Serviços de Convívio e Fortalecimento de Vínculos para faixa etária de 18 a 59 anos e Idosos, de ambos os sexos.</t>
  </si>
  <si>
    <t>1º Termo Aditivo  002/2017 - SADS - Processo: 36.518/2016
Edital Chamamento: 016/2016</t>
  </si>
  <si>
    <t>Executar o Projeto “Conviver e Fortalecer”, visando a gestão do Serviço de Convívio e Fortalecimento de Vínculos, complementando as ações da família e da comunidade, estimulando e fortalecendo o convívio grupal e comunitário e a participação na vida pública favorecendo o protagonismo social, de 80 usuários jovens, adultos e idosos da região de abrangência do CRAS Tanque e Bairros Boa Vista e Cachoeira.</t>
  </si>
  <si>
    <t>1º Termo Aditivo  006/2017 - SADS -
Processo: 36.519/2016
Edital Chamamento: 015/2016</t>
  </si>
  <si>
    <t>Casulo – Centro de Desenvolvimento e Integração Social da Criança Perdoense. CNPJ 04.456.594/0003-62</t>
  </si>
  <si>
    <t>Avenida Prefeito Antonio Julio Toledo Garcia Lopes, 545, Jardim Cerejeiras - Atibaia/SP</t>
  </si>
  <si>
    <t>Executar o Projeto “Casulo Acolher”, visando a gestão de uma unidade institucional para acolher e garantir proteção integral a 20 (vinte) crianças e adolescentes com faixa etária entre 0 a 17 anos, 11 meses e 29 dias, de ambos os sexos, que se encontram com seus vínculos familiares rompidos ou fragilizados, oriundos do município de Atibaia</t>
  </si>
  <si>
    <t>1º Termo Aditivo  004/2017 - SADS - 
Processo: 36.509/2016
Edital Chamamento: 002/2016</t>
  </si>
  <si>
    <t>Executar o Projeto “Curumim - Estação Cidadania”, Serviço de Proteção Social Básica e Atendimento Integral à Família, Serviço de Convivência e Fortalecimento de Vínculos, para atendimento de 60 (sessenta) crianças e adolescentes de 06 a 17 anos de idade, de ambos os sexos.</t>
  </si>
  <si>
    <t>1º Termo Aditivo 
017/2017 - SADS - 
Processo: 36.510/2016
Edital Chamamento: 012/2016</t>
  </si>
  <si>
    <t>Executar o Projeto “Arte e Cultura em Movimento”, visando a gestão do Serviço de Convívio e Fortalecimento de Vínculos familiares e sociais, prevenindo a ocorrência de situações de riscos sociais de crianças e adolescentes, faixa etária de 06 a 17 anos, preferencialmente às famílias beneficiárias de programas de transferência de renda, contribuindo para o empoderamento do público referenciado no CRAS Tanque, correspondendo aos bairros, Boa Vista,  Cachoeira, Chácaras Fernão Dias, Esmeralda e Tanque</t>
  </si>
  <si>
    <t>1º Termo Aditivo 001/2017 - SADS -
Processo: 36.517/2016
Edital Chamamento: 010/2016</t>
  </si>
  <si>
    <t>1º Termo Aditivo 
019/2017 - FUNDEB - 
Processo: 37.367/2016
Edital Chamamento: 011/2016</t>
  </si>
  <si>
    <t>1º Termo Aditivo
021/2017 - FUNDEB - 
Processo: 37.354/2016
Edital Chamamento: 010/2016</t>
  </si>
  <si>
    <t>1º Termo Aditivo
020/2017 - FUNDEB -
Processo: 37.361/2016
Edital Chamamento: 003/2016</t>
  </si>
  <si>
    <t>1º Termo Aditivo
022/2017 - FUNDEB - 
Processo: 37.359/2016
Edital Chamamento: 002/2016</t>
  </si>
  <si>
    <t>1º Termo Aditivo
023/2017 - SADS - 
Processo: 36.514/2016
Edital Chamamento: 013/2016</t>
  </si>
  <si>
    <t>1º Termo Aditivo
024/2017 - SADS - 
Processo: 36.516/2016
Edital Chamamento: 014/2016</t>
  </si>
  <si>
    <t>1º Termo Aditivo
025/2017 - SADS - 
Processo: 36.505/2016
Edital Chamamento: 009/2016</t>
  </si>
  <si>
    <t>1º Termo Aditivo
027/2017 - SADS - 
Processo: 36.512/2016
Edital Chamamento: 004/2016</t>
  </si>
  <si>
    <t>1º Termo Aditivo
028/2017 - SADS - 
Processo: 36.508/2016
Edital Chamamento: 003/2016</t>
  </si>
  <si>
    <t>1º Termo Aditivo
031/2017 - SADS - 
Processo: 36.504/2016
Edital Chamamento: 007/2016</t>
  </si>
  <si>
    <t>1º Termo Aditivo
039/2017 - Processo: 5.922/2017
Edital Chamamento: 004/2017 - CEER</t>
  </si>
  <si>
    <t>1º Termo Aditivo
040/2017 - Processo: 42.610/2016
Edital Chamamento: 001/2017 - CEER</t>
  </si>
  <si>
    <t>1º Termo Aditivo
041/2017 - Processo: 5.926/2017
Edital Chamamento: 002/2017 - CEER</t>
  </si>
  <si>
    <t xml:space="preserve">1º Termo Aditivo
043/2017 - Processo: 7394/2017 
Edital de Chamamento: 001/2017 - Projeto Judô </t>
  </si>
  <si>
    <t>1º Termo Aditivo
044/2017 - Processo: 7390/2017 
Edital de Chamamento: 002/2017 Projeto Jiu Jitsu</t>
  </si>
  <si>
    <t>1º Termo Aditivo
045/2017 - Processo: 7384/2017
Edital de Chamamento: 
005/2017 Projeto Esporte Especial</t>
  </si>
  <si>
    <t>1º Termo Aditivo
046/2017 - Processo: 7393/2017
Edital de Chamamento:
006/2017 Projeto Handebol</t>
  </si>
  <si>
    <t>1º Termo Aditivo
049/2017 - Processo: 7374/2017
Edital de Chamamento: 
004/2017 Projeto Taekwondo</t>
  </si>
  <si>
    <t>1º Termo Aditivo
051/2017 - Processo: 41.328/2016
Edital de Chamamento: 001/2016 - Abrigo Animal</t>
  </si>
  <si>
    <t>1º Termo Aditivo
053/2017- Processo: 7392/2017
Edital de Chamamento: 012/2017 - Projeto de Capoeira</t>
  </si>
  <si>
    <t xml:space="preserve">1º Termo Aditivo
060/2017 - FUNDEB - Processo:  24667/2017
Edital de Chamamento: 020/2017 – Creche Comunitária </t>
  </si>
  <si>
    <t xml:space="preserve">
1º Termo Aditivo
061/2017 - Processo: 14530/2017
Edital de Chamamento: 005/2017 – CEER - Coord. Esp. Emprego e Renda</t>
  </si>
  <si>
    <t>Executar o Projeto “Casulo Ninho de Estrelas”, visando a gestão de uma unidade institucional para até 20 (vinte) crianças e adolescentes, de zero a dezessete anos, 11 meses e vinte e nove dias, de ambos os sexos, inclusive com deficiência quando houver demanda, sob medida de proteção (art. 98 - ECA), em risco pessoal e social.</t>
  </si>
  <si>
    <t xml:space="preserve">Gestão do Programa Creche Comunitária no bairro Itapetinga, visando o atendimento de 18 (dezoito) crianças em idade de 6 meses a 1 ano e 11 meses, 88 (oitenta e oito) crianças de 2 anos a 5 anos de idade, totalizando 106 (cento e seis) crianças.
</t>
  </si>
  <si>
    <t>Acolhimento de até 18 (dezoito) Idosos com 60 anos ou mais, de ambos os sexos, independentes e/ou com diversos graus de dependência após avaliação na triagem, proporcionando condições de habitabilidade e atendimento às necessidades básicas, através de equipe multidisciplinar garantindo a proteção integral , residentes no município de Atibaia”.</t>
  </si>
  <si>
    <t>REPASSES PÚBLICOS AO TERCEIRO SETOR</t>
  </si>
  <si>
    <t>ÓRGÃO CONCESSOR:  PREFEITURA DA ESTÂNCIA DE ATIBAIA</t>
  </si>
  <si>
    <t>ENTIDADE BENEFICIÁRIA/CNPJ</t>
  </si>
  <si>
    <t>ENDEREÇO ENTIDADE</t>
  </si>
  <si>
    <t>DATA</t>
  </si>
  <si>
    <t>VIGÊNCIA
ATÉ</t>
  </si>
  <si>
    <t>FONTE</t>
  </si>
  <si>
    <t>OBJETO</t>
  </si>
  <si>
    <t>Fraternidade Universal Projeto Curumim – CNPJ 00.938.214/0001-03</t>
  </si>
  <si>
    <t>Praça Antônio Scavone, s/nº – Caetetuba, Atibaia/SP</t>
  </si>
  <si>
    <t>Fundação Grande Harmonia CNPJ: 05.158.273/0002-63</t>
  </si>
  <si>
    <t>Rua Esper Elias Zaca, 21, Casas Populares - Atibaia/SP</t>
  </si>
  <si>
    <t>Associação de Pais e Amigos dos Excepcionais de Atibaia – APAE             CNPJ 47.952.825/0001-70</t>
  </si>
  <si>
    <t>Espaço Crescer – Livre Criatividade CNPJ 04.226.574/0001-33</t>
  </si>
  <si>
    <t>Missão Evangélica Rohi M'Kadesh – CNPJ 03.440.315/0001-48</t>
  </si>
  <si>
    <t>Casulo – Centro de Desenvolvimento e Integração Social da Criança Perdoense. CNPJ 04.456.594/0002-81</t>
  </si>
  <si>
    <t>Associação Espírita Beneficente e Educacional Casa do Caminho - CNPJ 86.790.268/0001-90</t>
  </si>
  <si>
    <t>União dos Amigos dos Bairros do Itapetinga – UABI – CNPJ 00.983.589/001-95</t>
  </si>
  <si>
    <t>Mater Dei - CAM - Casa de Apoio à Menina - CNPJ 03.951.901/0001-57</t>
  </si>
  <si>
    <t>Lar São Vicente de Paulo CNPJ 54.344.775/0001-03</t>
  </si>
  <si>
    <t>VALOR GLOBAL</t>
  </si>
  <si>
    <t>Praça Papa João Paulo, II, 25, Vila Nova Aclimação - Atibaia/SP</t>
  </si>
  <si>
    <t>Avenida São João, 557, Centro - Atibaia/SP</t>
  </si>
  <si>
    <t>Rua das Camélias, 520, Chácara Fernão Dias, Atibaia/SP</t>
  </si>
  <si>
    <t>Estrada dos Perines, 230, Boa Vista - Atibaia/SP</t>
  </si>
  <si>
    <t xml:space="preserve">Avenida Santana, 2.267, Itapetinga - Atibaia/SP </t>
  </si>
  <si>
    <t>Praça João Paulo II, 65, Atibaia Jardim - Atibaia/SP</t>
  </si>
  <si>
    <t>Rua São Miguel, 480, Centro - Piracaia/SP</t>
  </si>
  <si>
    <t>Termo de Colaboração</t>
  </si>
  <si>
    <t>Executar o Projeto “Reconstruindo Valores e Identidade”, para gestão do Serviço de Proteção Social Básica, Serviço de Convivência e Fortalecimento de Vínculos, visando o atendimento de crianças e adolescente na faixa etária de 06 a 17 anos, para região do CRAS Caetetuba, Residencial Jeronimo I e II.</t>
  </si>
  <si>
    <t>Associação de Serviços Assistenciais de Atibaia - ASA - CNPJ 44.707.206/0001-21</t>
  </si>
  <si>
    <t>Gestão do Programa Creche Comunitária na região central, visando o atendimento de 160 (cento e sessenta) crianças em idade de 6 meses a 3 anos de idade na primeira etapa da Educação Básica, em período integral.</t>
  </si>
  <si>
    <t>Avenida Carlos A C Pinto, n.º130, Centro - Atibaia/SP</t>
  </si>
  <si>
    <t>Gestão do Programa Creche Comunitária no Bairro Jardim Colonial, visando o atendimento de 40 (quarenta) crianças em idade de 6 meses a 1 ano e 11 meses e 24 (vinte e quatro) crianças de 2 anos a 3 anos de idade, totalizando 64 (sessenta e quatro) crianças</t>
  </si>
  <si>
    <t>Gestão do Programa Creche Comunitária na região central, visando o atendimento de 30 (trinta) crianças em idade de 2 anos e 3 anos de idade.</t>
  </si>
  <si>
    <t>Programa Creche Comunitária no Bairro Jardim Cerejeiras, visando o atendimento de 60 (sessenta) crianças em idade de 2 anos a 3 anos de idade.</t>
  </si>
  <si>
    <t>Executar o Projeto “Recriar - Imperial em Ação”, visando a gestão dos Serviços de Convívio e Fortalecimento de Vínculos para faixa etária de 06 a 17  anos, para região do CRAS Imperial, prioritariamente a famílias beneficiárias de programas de transferência de renda, com vivência de violência e/ou negligência, proporcionando encontros e oficinas socioeducativas que ampliem o universo informacional, cultural e social de crianças e adolescentes.</t>
  </si>
  <si>
    <t>Executar o Projeto “Recriar – Portão em Ação”, visando organizar Serviços de Convívio e Fortalecimento de Vínculos (SCFV) que proporcione encontros e oficinas socioeducativas que ampliem o universo informacional, cultural e social de crianças e adolescentes - Proteção Social Básica - Serviço de Convivência e Fortalecimento de Vínculos.</t>
  </si>
  <si>
    <t>Executar o Projeto “A Arte da Convivência”, para a gestão do Serviço de Atenção à Pessoa com Deficiência, promovendo a convivência diária de 30 (trinta) pessoas com deficiência intelectual e/ou múltipla que necessitam de apoio pervasivo/ extensivo, com idade a partir de 30 anos, ofertando atendimento individualizado aos usuários e familiares, visando à autonomia e melhoria na qualidade de vida por meio de atividades ocupacionais.</t>
  </si>
  <si>
    <t>Executar o Projeto “República Acolher”, visando a gestão de duas unidades institucionais, para acolhimento de 12 (doze) jovens de ambos os sexos, que encontram com seus vínculos familiares rompidos ou fragilizados, oriundos do município de Atibaia, devendo as unidades serem organizadas em Unidades masculinas e femininas, com número máximo de até 06 (seis) usuários, em casas distintas.Executar o Projeto “República Acolher”, visando a gestão de duas unidades institucionais, para acolhimento de 12 (doze) jovens de ambos os sexos, que encontram com seus vínculos familiares rompidos ou fragilizados, oriundos do município de Atibaia, devendo as unidades serem organizadas em Unidades masculinas e femininas, com número máximo de até 06 (seis) usuários, em casas distintas.</t>
  </si>
  <si>
    <t>Praça Papa João Paulo II, 65, Atibaia Jardim - Atibaia/SP</t>
  </si>
  <si>
    <t>Casulo – Centro de Desenvolvimento e Integração Social da Criança Perdoense. CNPJ 04.456.594/0006-05</t>
  </si>
  <si>
    <t>Avenida Maria Alvim Soares, 437, Jd. Alvinópolis, Atibaia/SP</t>
  </si>
  <si>
    <t>Rua Dr. Zeferino Alves do Amaral, 736, Centro - Atibaia/SP</t>
  </si>
  <si>
    <t>Praça João Paulo II, nº65, Atibaia Jardim, Atibaia-SP</t>
  </si>
  <si>
    <t>Gestão do Programa Escola Legal – Pré Aprendizagem nas Escolas, visando proporcionar aos adolescentes a partir de 13 anos, estudantes de escolas públicas do município de Atibaia oportunidades de conhecer e vivenciar o mundo de trabalho, com foco no desenvolvimento da cidadania e a valorização do indivíduo.</t>
  </si>
  <si>
    <t>Gestão do Programa Escola da Beleza, visando ao atendimento de população excluída do mercado formal de trabalho, através da oferta de cursos de qualificação profissional e ações de fomento à inserção social e produtiva dos cidadãos participantes, nas áreas de estética e beleza, bem estar e cuidados pessoais.</t>
  </si>
  <si>
    <t>Gestão do Programa Capacitação, visando o desenvolvimento social e a melhoria das condições de vida da população em situação de vulnerabilidade social, através da oferta e execução de cursos de capacitação/qualificação e ações de inserção social e produtiva.</t>
  </si>
  <si>
    <t>Associação Paulo Alvim de Judô Atibaia - APAJA 
CNPJ 07.547.005/0001-88</t>
  </si>
  <si>
    <t>Avenida Clóvis Soares, nº625, Alvinópolis, Atibaia - SP</t>
  </si>
  <si>
    <t>Gestão do Projeto Judô, promovendo o acesso à Modalidade de Judô a 750 beneficiados, em especial a crianças e adolescentes entre 06 e 17 anos, além do incentivo ao lazer, à cultura e à saúde, por meio de atividades esportivas educacionais, no contra turno escolar, auxiliando no processo de erradicação da vulnerabilidade social e de emancipação de crianças e jovens como cidadão crítico e atuante</t>
  </si>
  <si>
    <t>Associação Hércio Teofilo de Jiu Jitsu - Atibaia
CNPJ 15.372.962/0001-49</t>
  </si>
  <si>
    <t>Praça Vinte e quatro de junho, nº173, Alvinópolis - Atibaia - SP</t>
  </si>
  <si>
    <t>Gestão do Projeto Jiu Jitsu, visando o atendimento e a integração de crianças e jovens, na faixa etária de 06 a 17 anos, por meio do Jiu Jitsu, em contraturno escolar</t>
  </si>
  <si>
    <t>Associação Paradesportistas de Atibaia - APA
CNPJ 11.846.291/0001-50</t>
  </si>
  <si>
    <t>Rua Diamantina, nº211, Jardim Imperial, Atibaia - SP</t>
  </si>
  <si>
    <t>Gestão do Projeto Especial Atletismo e Natação, visando oportunizar a prática da modalidade esportiva de natação e atletismo para pessoas com deficiência (física, visual e intelectual)</t>
  </si>
  <si>
    <t>Associação Desportiva Atibaiense - ADA
CNPJ 51.913.770/0001-66</t>
  </si>
  <si>
    <t>Av. Horácio Neto, nº1061, Parque Samambaia, Atibaia - SP</t>
  </si>
  <si>
    <t>Gestão do Projeto Handebol em Ação, visando proporcionar, através do Handebol, atividades sócio-educativas para ambos os gêneros com faixa etária a partir de 11 anos</t>
  </si>
  <si>
    <t>Associação de Pais e Amigos da Fanfarra Municipal de Atibaia
CNPJ 07.712.462/0001-80</t>
  </si>
  <si>
    <t>Av. Joviano Alvim, 1322, Atibaia Jardim, Atibaia - SP</t>
  </si>
  <si>
    <t>Execução do Programa “Educando com Música e Cidadania”</t>
  </si>
  <si>
    <t>Gestão do Projeto Taekwondo, que visa difundir o  Taekwondo nos bairros da cidade de Atibaia, para aproximadamente 300 crianças e adolescentes de 7 a 17 anos de idade, fazendo com que tenham o conhecimento da modalidade, aprendendo os valores, fundamento, regras de convivência em grupo, visando ampliar o desenvolvimento físico e psicólogico dos alunos através da prática esportiva, desenvolver, junto aos alunos, o prazer pelo esporte, bem como aprimorar a cooperação, a união e companheirismo dos mesmos como membros de um grupo</t>
  </si>
  <si>
    <t>Organização Não Governamental de Abrigo, Proteção, Auxílio e Tratamento de Animais em Sofrimento</t>
  </si>
  <si>
    <t>Estrada Bragança Paulista, nº585, Bairro do Tanque - Atibaia - SP</t>
  </si>
  <si>
    <t>Gestão de Abrigos de Animais em Sofrimento no Município de Atibaia</t>
  </si>
  <si>
    <t>ACA – Associação dos Capoeiristas de Atibaia</t>
  </si>
  <si>
    <t>Rua João Batista Conti, n.º805, Bairro Alvinópolis - Atibaia - SP</t>
  </si>
  <si>
    <t>Gestão do Projeto de Capoeira, destinado ao atendimento das crianças e jovens do município de Atibaia, no período de contraturno escolar</t>
  </si>
  <si>
    <t>Associação da Estação Maracanã - CNPJ: 08.979.275/0001-20</t>
  </si>
  <si>
    <t>Rua João Neto, nº405, Jardim Maracanã - Atibaia/SP</t>
  </si>
  <si>
    <t>Gestão do Programa Creche Comunitária no Bairro Maracanã, visando o atendimento de 30 (trinta) crianças em idade de 1 ano e 6 meses a 2 anos, 11 meses e 29 dias</t>
  </si>
  <si>
    <t xml:space="preserve">Gestão do Programa Luz do Caminho, visando proporcionar aos adolescentes e jovens de 14 a 18 anos incompletos, oportunidades de preparação para o trabalho, com foco no desenvolvimento da cidadania e a valorização do indivíduo, desenvolvendo formação multidisciplinar, preparando-o para inclusão produtiva no exercício de seu papel como cidadão. </t>
  </si>
  <si>
    <t>VALORES REPASSADOS DURANTE O EXERCÍCIO DE 2018</t>
  </si>
  <si>
    <t>001/2018 - Coord. Especial da Mulher -
Processo: 26.575/2017
Edital Chamamento: 002/2017</t>
  </si>
  <si>
    <t>Gestão do Programa Bem Estar Mulher – Desenvolvimento de Atendimento do Centro de Referência da Mulher – CRM, destinado ao atendimento à mulher em situação de violência de gênero e desenvolvimento de ações preventivas</t>
  </si>
  <si>
    <t xml:space="preserve">002/2018- FUNDEB - Processo: 40.619/2017
</t>
  </si>
  <si>
    <t>gestão do Programa Educação Especial, visando o atendimento de até 135 (cento e trinta e cinco) pessoas com deficiência intelectual e/ou múltipla com transtornos globais do desenvolvimento, no município de Atibaia, nas modalidades de Educação Infantil; Ensino Fundamental; Programas Educação Precoce e Sócio educacional; avaliação por equipe multidisciplinar de alunos matriculados na rede regular de ensino de 01 a 14 anos e 11 meses de idade para Atendimento Educacional Especializado; e transporte escolar para 20 alunos mediante contratação de 01 empresa especializada</t>
  </si>
  <si>
    <t>Acolhimento Institucional para Jovens e Adultos, visando acolher e ofertar, de forma qualificada, a Proteção Integral de Jovens e Adultos com Deficiência, em situação de dependência sem vínculos parentais</t>
  </si>
  <si>
    <t>004/2018 - SADS - Processo: 28.039/2017
Edital de Chamamento: 001/2017</t>
  </si>
  <si>
    <t>003/2018 - SADS - Processo: 28.043/2017
Edital de Chamamento: 002/2017</t>
  </si>
  <si>
    <t>execução do Programa Vem Ser, visando a gestão de uma Unidade Institucional de Acolhimento em Casa de Passagem para pessoas em situação de rua, acima de 18 anos, de ambos os sexos, de forma humanizada e com orientação para reinserção na família, sociedade e trabalho, e o serviço de abordagem de rua que deverá funcionar 180 horas semanais, utilizando para este mister em cooperação a Kombi, placas CPV 6947, patrimônio nº 21507, ano de fabricação 2000</t>
  </si>
  <si>
    <t>005/2018 - SAUDE - Processo: 43.340/2017</t>
  </si>
  <si>
    <t>Irmandade de Misericórdia de Atibaia  - CNPJ: 44.510.485/0001-39</t>
  </si>
  <si>
    <t>Praça Dr. Miguel Vairo s/nº - Atibaia/ SP</t>
  </si>
  <si>
    <t>repasse de recursos de subvenção, para o desenvolvimento de ações e serviços destinados a assistência integral à saúde da comunidade, através da Santa Casa de Atibaia</t>
  </si>
  <si>
    <t>010/2018 - FUNDEB - Processo: 34.107/2017 
Edital de Chamamento nº 002/2017</t>
  </si>
  <si>
    <t>Fraternidade Universal Projeto Curumim, CNPJ: 00.938.214/0001-03</t>
  </si>
  <si>
    <t>Praça Antonio Scavone, s/nº, Caetetuba, Atibaia SP</t>
  </si>
  <si>
    <t>gestão do Programa Melhoria da Educação, destinado ao atendimento dos alunos no período integral nas Unidades Escolares EM Profª Rosiris Andreucci Stopa e EM Eva Cordula Hauer Vallejo, totalizando até 440 crianças de 06 anos a 14 anos de idade</t>
  </si>
  <si>
    <t>Espaço Crescer – Livre Criatividade - CNPJ: 04.226.574/0001-33</t>
  </si>
  <si>
    <t>Rua das Camélias, nº520, Chácara Fernão Dias</t>
  </si>
  <si>
    <t>gestão do Programa Melhoria da Educação, destinado ao atendimento dos alunos no contraturno escolar da Unidade Escolar EM Walda Paolinetti Lozasso, totalizando 100 crianças de 06 anos a 14 anos de idade</t>
  </si>
  <si>
    <t>008/2018 - FUNDEB - Processo: 34.740/2017
Edital de Chamamento nº 007/2017</t>
  </si>
  <si>
    <t>009/2018 - FUNDEB - Processo: 34.738/2017
Edital de Chamamento nº 006/2017</t>
  </si>
  <si>
    <t>gestão do Programa Melhoria da Educação, destinado ao atendimento dos alunos no contraturno escolar da Unidade Escolar EM Prefeito Gilberto Sant'anna, que serão identificadas como POLO IV,  totalizando até 200 crianças de 06 anos a 14 anos de idade</t>
  </si>
  <si>
    <t>006/2018 - Agricultura - Processo: 34.658/2017
Edital Chamamento: 001/2017 – S A</t>
  </si>
  <si>
    <t>Associação dos Produtores de Morango e Hortifruti de Atibaia, Jarinu e Região - CNPJ:  54.144.894/0001-12</t>
  </si>
  <si>
    <t>Estrada Municipal do Campo dos Aleixos, s/n.º, Campo dos Aleixos</t>
  </si>
  <si>
    <t>repasse de recursos financeiro para gestão do Programa de Revitalização da Cultura do Morango, Programa de Incentivo à Agricultura Familiar e o Programa Atibaia Florida, visando fomentar a agricultura no município, prestando serviços de mecanização agrícola, assistência técnica, fornecimento de mudas aos agricultores e ao município e serviço de plantio e manutenção de canteiros de praças e avenidas</t>
  </si>
  <si>
    <t>007/2018 - Esporte - Processo: 34.124/2017
Edital Chamamento: 009/2017</t>
  </si>
  <si>
    <t>Associação Desportiva Atibaiense - ADA CNPJ: 51.913.770/0001-66</t>
  </si>
  <si>
    <t>Av. Horácio Neto, nº1061, Parque Samambaia</t>
  </si>
  <si>
    <t>Gestão do Projeto Natação, visando a iniciação esportiva para alunos da rede municipal de ensino no contra turno escolar na modalidade de natação</t>
  </si>
  <si>
    <t>011/2018 - FUNDEB - Processo: 34.736/2017 - Edital de chamamento: 003/2017</t>
  </si>
  <si>
    <t>gestão do Programa Melhoria da Educação, destinado ao atendimento no contra turno escolar dos alunos  nas Unidades Escolares EM Waldemar de Barros Buhler, EM Prefeito Walter Engracia de Oliveira, EM Padre Armando Tamassia e EM Therezinha do Menino Jesus S. C. Sirera, que serão identificadas como POLO I, , totalizando até 800 crianças de 06 anos a 14 anos de idade</t>
  </si>
  <si>
    <t>012/2018 - FUNDEB - Processo: 34.742/2017 Edital chamamento: 009/2017</t>
  </si>
  <si>
    <t>União dos Amigos dos Bairros do Itapetinga - UABI - CNPJ: 00.983.589/0001-95</t>
  </si>
  <si>
    <t>Av. Santana, n.º2267, Bairro Itapetinga, Atibaia /SP</t>
  </si>
  <si>
    <t>gestão do Programa Melhoria da Educação, destinado ao atendimento no contra turno escolar dos alunos  da Unidade Escolar EM Educador Paulo Freire, totalizando 200 crianças de 06 anos a 14 anos de idade</t>
  </si>
  <si>
    <t>013/2018 - FUNDEB - Processo: 34.744/2017 Edital chamamento: 008/2017</t>
  </si>
  <si>
    <t>gestão do Programa Melhoria da Educação, destinado ao atendimento no contra turno escolar dos alunos  das Unidades Escolares EM Prof. Pedro de Alcântara Santos Silva e EM Prof. Serafina de Luca Cherfen, totalizando 220 crianças de 06 anos a 14 anos de idade</t>
  </si>
  <si>
    <t>014/2018 - C. Especial IDOSO - Processo: ° 38.086/2017
 Edital chamamento: 001/2017</t>
  </si>
  <si>
    <t>Associação Beneficente Viva Vida 
 CNPJ: 09.387.897/0001-22</t>
  </si>
  <si>
    <t>Rua Tales de Mileto, 235, Cidade A. E Carvalho, São Paulo/SP</t>
  </si>
  <si>
    <t>gestão do Programa Envelhecimento Ativo, visando proporcionar atividades que permitam que os idosos a partir de 60 anos de idade envelheçam com qualidade de vida, assegurando seus direitos individuais e sociais, estimulando-os a educação, cultura, esporte, lazer, saúde, participação social, inclusão social e digital</t>
  </si>
  <si>
    <t xml:space="preserve">015/2018 - Esporte OSCIP- Processo: ° </t>
  </si>
  <si>
    <t xml:space="preserve">Associação Esportiva de Atibaia - CNPJ:06.117.184/0001-50, </t>
  </si>
  <si>
    <t>Rua José Alvim, 42, sala 13, piso matriz – Centro - Atibaia</t>
  </si>
  <si>
    <t>Projeto Ginastica Ritmica para oferecer gratuitamente acesso à mobilidade, visando o crescimento da ginástica rítmica tanto em número de participantes como em qualidade e evolução para os grupos já existentes, em aperfeiçoamento e treinamento com equipes nas categorias infantil, juvenil e adulto.</t>
  </si>
  <si>
    <t xml:space="preserve">016/2018 - Esporte OSCIP- Processo: ° </t>
  </si>
  <si>
    <t>Projeto Escola de Esportes, para oferecer gratuitamente o acesso à mobilidade, visando oferecer oportunidade de prática esportiva às crianças, adolescentes de ambos os sexos, jovens e adultos nas modalidades atletismo, balé, tênis de mesa, xadrez, ciclismo, BMX, pilates, tai chi chuan, rugby e futebol americano, buscando qualidade e evolução dos participantes em aperfeiçoamento e treinamento</t>
  </si>
  <si>
    <t>1º Termo Aditivo - 018/2017 - SADS -
Processo: 36.506/2016
Edital Chamamento: 011/2016</t>
  </si>
  <si>
    <t>1º Termo Aditivo - 047/2017 - Processo: 
6697/2017
Edital de Chamamento: 
002/2017 - SMCE</t>
  </si>
  <si>
    <t>Associação dos Moradores dos Bairros Jardim São Felipe, Jardim Ciliar e Jardim Santo Antonio - CNPJ 59.018.135/0001-27</t>
  </si>
  <si>
    <t>Rua Anna  Mathias Vairo, s/n, Jardim São Felipe – Atibaia/SP</t>
  </si>
  <si>
    <t>Gestão do Programa Creche Comunitária no Bairro Jardim São Felipe, visando o atendimento de 37 (trinta e sete) crianças em idade de 2 anos a 3 anos de idade</t>
  </si>
  <si>
    <t>1º Termo Aditivo 009/2017 - FUNDEB - 
Processo: 37.362/2016
Edital Chamamento: 006/2016</t>
  </si>
  <si>
    <t>Associação dos Produtores de Morango e Hortifruti de Atibaia/Jarinu e Região – CNPJ 54.144.894/0001-12</t>
  </si>
  <si>
    <t>Estrada Municipal do Campo dos Aleixos, s/n - Campo dos Aleixos - Atibaia/SP</t>
  </si>
  <si>
    <t>Gestão do Programa Creche Comunitária no Bairro do Tanque, visando o atendimento de 30 (trinta) crianças em idade de 2 a 3 anos.</t>
  </si>
  <si>
    <t>1º Termo Aditivo  010/2017 - FUNDEB - 
Processo: 37.765/2016
Edital Chamamento: 013/2016</t>
  </si>
  <si>
    <t>Associação Centro Comunitário do Bairro do Boa Vista – CNPJ 51.867.240/0001-29</t>
  </si>
  <si>
    <t>Estrada Juca Sanches, S/N, Km 11, Bairro da Boa Vista  – Atibaia/SP</t>
  </si>
  <si>
    <t>Gestão do Programa Creche Comunitária no Bairro Boa Vista, visando o atendimento de até 25 (vinte e cinco) crianças, em idade de 2 a 3 anos.</t>
  </si>
  <si>
    <t>1º Termo Aditivo 011/2017 - FUNDEB -
Processo: 37.368/2016 Edital Chamamento: 005/2016</t>
  </si>
  <si>
    <t>Associação Carmelitas de São José - CNPJ: 04.178.469/0001-76</t>
  </si>
  <si>
    <t>Rod. Fernão Dias, km 51, Bairro do Portão - Atibaia/SP</t>
  </si>
  <si>
    <t>Gestão do Programa Creche Comunitária no Bairro do Portão, visando o atendimento de 45 (quarenta e cinco) crianças de 2 anos e 3 anos de idade.</t>
  </si>
  <si>
    <t>1º Termo Aditivo 
012/2017 - FUNDEB -
Processo: 37.357/2016
Edital Chamamento: 009/2016</t>
  </si>
  <si>
    <t>Instituto Social Educativo e Beneficente Novo Signo CNPJ 78.636.974/0009-00</t>
  </si>
  <si>
    <t>Rua Avelino Antonio de Campos, 225, Bairro Caetetuba - Atibaia/SP</t>
  </si>
  <si>
    <t>Programa Creche Comunitária no Bairro Caetetuba, visando o atendimento de 213 (duzentos e treze) crianças em idade de 2 e 3 anos.</t>
  </si>
  <si>
    <t>017/2018 - Esporte - Processo: 34.500/2017 - Edital de Chamamento: 010/2017</t>
  </si>
  <si>
    <t>Associação de Basquete Atibaia - ABC - CNPJ 17.732.878/0001-14</t>
  </si>
  <si>
    <t xml:space="preserve">Rua Bento Marcondes Escobar nº190, Jardim Tapajós, Atibaia </t>
  </si>
  <si>
    <t>Gestão do Projeto Atleta Cidadão que visa a iniciação esportiva para alunos da rede municipal de ensino no contra turno escolar na modalidade de Basquetebol, atendendo aproximadamente 100 crianças, adolescentes e jovens de 10 a 19 anos de idade</t>
  </si>
  <si>
    <t>019/2018 - Coord. Especial Idoso. 
Processo: 1161/2018 Edital de Chamamento: 1/18</t>
  </si>
  <si>
    <t>Gestão do Centro Dia do Idoso e proporcionar cuidado para até 50 idosos fragilizados semi-dependentes, com idade igual ou superior a 60 anos, que não tenham condições de permanecerem sozinhos nos domicílios, cuja condição requeira o auxílio de pessoas para a realização de atividades da vida diária diurna.</t>
  </si>
  <si>
    <t>Gestão do programa Confecção de Bonecos Gigantes pelo período de 09 (nove) meses</t>
  </si>
  <si>
    <t>021/2018 - Cultura Processo: 5648/2018
Edital de Chamamento: 3/18</t>
  </si>
  <si>
    <t>CAABEM - Casa de Apoio Amigos do Bem
CNPJ: 17.920.843/0001-09</t>
  </si>
  <si>
    <t>Rua Gina Lima Silvestre ,254 - Atibaia/SP</t>
  </si>
  <si>
    <t>022/2018 - Cultura Processo: 5644/2018
Edital de Chamamento: 2/18</t>
  </si>
  <si>
    <t>Gestão do Programa "ARTES EM CENA" , correspondente ao período de 09 (nove) meses</t>
  </si>
  <si>
    <t>2º Termo Aditivo
030/2017 - FUNDEB - 
Processo: 37.365/2016
Edital Chamamento: 008/2016</t>
  </si>
  <si>
    <t>Projeto de promover cursos livres de teatro para a população de baixa renda e alunos da rede municipal de ensino, estimulando a capacidade dos mesmos para criar e interpretar peças teatrais, por um período de 09 (nove) meses</t>
  </si>
  <si>
    <t>023/2018 - Agricultura 
Processo: 15.284/18
Inexigibilidade de chamamento: 001/2018</t>
  </si>
  <si>
    <t>Repasse de recursos financeiros para a realização da 35ª Festa do Morango de Atibaia, Jarinu e Região</t>
  </si>
  <si>
    <t>020/2018 - Cultura
Processo: 5.651/2018
Edital de Chamamento 004/18</t>
  </si>
  <si>
    <t>026/2018 - Esporte Processo: 34.120/2017
Edital de Chamamento: 002/2018</t>
  </si>
  <si>
    <t>Avenida Maria Alvim Soares nº991, Jardim Alvinópolis - Atibaia/ SP</t>
  </si>
  <si>
    <t>Associação Desportiva Brasinha - CNPJ  16.701.771/0001-46</t>
  </si>
  <si>
    <t>Gestão do Projeto Futebol e Futsal na cidade de Atibaia visando a formação física esportiva, moral, social , afetiva e solidária de, no mínimo, 500 (quinhentas) crianças, jovens e adolescentes na faixa etária de 06 a 17 anos, no contra turno escolar</t>
  </si>
  <si>
    <t>Inclusão social de adolescentes em atividades socioeducativas de preparção para o primeiro emprego com foco no bairro estância parque</t>
  </si>
  <si>
    <t>027/2018 - SADS
Processo: 39.744/2017
Edital Chamamento: 009/2018</t>
  </si>
  <si>
    <t>029/2018 - SADS
Processo: 39.750/2017
Edital Chamamento: 010/2018</t>
  </si>
  <si>
    <t>05 meses</t>
  </si>
  <si>
    <t>Execução de Projeto referente à
“Inclusão digital de crianças e adolescentes do Bairro Chácaras Fernão
Dias e Bairro Esmeralda”</t>
  </si>
  <si>
    <t>030/2018 - SADS
Processo: 39.751/2017
Edital Chamamento: 011/2018</t>
  </si>
  <si>
    <t>12 meses</t>
  </si>
  <si>
    <t>Execução de PROJETO
referente à “Inclusão social de crianças e adolescentes com necessidades especiais- deficiência intelectual e múltipla e/ou com transtornos globais
do desenvolvimento, associados à deficiência intelectual que necessitam de apoio extensivo/ generalizado”</t>
  </si>
  <si>
    <t>031/2018 - SADS
Processo: 43.078/2017
Edital Chamamento: 012/2018</t>
  </si>
  <si>
    <t>12  meses</t>
  </si>
  <si>
    <t>Execução de Projeto
visando ações de proteção, defesa e garantia de direitos de crianças e adolescentes no combate ao “Bullying, violência psicológica contra crianças e adolescentes”</t>
  </si>
  <si>
    <t>VALOR REPASSADO NO EXERCÍCIO ATÉ 31/10/2018</t>
  </si>
  <si>
    <t>31/112/18</t>
  </si>
  <si>
    <t>Atibaia, 31 de outubro de 2018</t>
  </si>
</sst>
</file>

<file path=xl/styles.xml><?xml version="1.0" encoding="utf-8"?>
<styleSheet xmlns="http://schemas.openxmlformats.org/spreadsheetml/2006/main">
  <numFmts count="2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R$-416]\ #,##0.00;[Red]\-[$R$-416]\ #,##0.00"/>
    <numFmt numFmtId="173" formatCode="dd/mm/yy"/>
    <numFmt numFmtId="174" formatCode="#,###.00"/>
    <numFmt numFmtId="175" formatCode="#,###.00;[Red]\-#,###.00"/>
    <numFmt numFmtId="176" formatCode="00"/>
    <numFmt numFmtId="177" formatCode="&quot;Sim&quot;;&quot;Sim&quot;;&quot;Não&quot;"/>
    <numFmt numFmtId="178" formatCode="&quot;Verdadeiro&quot;;&quot;Verdadeiro&quot;;&quot;Falso&quot;"/>
    <numFmt numFmtId="179" formatCode="&quot;Ativar&quot;;&quot;Ativar&quot;;&quot;Desativar&quot;"/>
    <numFmt numFmtId="180" formatCode="[$€-2]\ #,##0.00_);[Red]\([$€-2]\ #,##0.00\)"/>
    <numFmt numFmtId="181" formatCode="_(* #,##0.000_);_(* \(#,##0.000\);_(* &quot;-&quot;??_);_(@_)"/>
  </numFmts>
  <fonts count="24">
    <font>
      <sz val="10"/>
      <name val="Arial"/>
      <family val="2"/>
    </font>
    <font>
      <b/>
      <sz val="10"/>
      <name val="Arial"/>
      <family val="2"/>
    </font>
    <font>
      <sz val="9"/>
      <name val="Arial"/>
      <family val="2"/>
    </font>
    <font>
      <sz val="8"/>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9"/>
      <color indexed="9"/>
      <name val="Arial"/>
      <family val="2"/>
    </font>
    <font>
      <b/>
      <sz val="14"/>
      <color indexed="2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ck">
        <color indexed="9"/>
      </left>
      <right style="thin">
        <color indexed="9"/>
      </right>
      <top style="thick">
        <color indexed="9"/>
      </top>
      <bottom style="thick">
        <color indexed="9"/>
      </bottom>
    </border>
    <border>
      <left style="thin">
        <color indexed="9"/>
      </left>
      <right style="thin">
        <color indexed="9"/>
      </right>
      <top style="thick">
        <color indexed="9"/>
      </top>
      <bottom style="thick">
        <color indexed="9"/>
      </bottom>
    </border>
    <border>
      <left style="thin">
        <color indexed="9"/>
      </left>
      <right style="thick">
        <color indexed="9"/>
      </right>
      <top style="thick">
        <color indexed="9"/>
      </top>
      <bottom style="thick">
        <color indexed="9"/>
      </bottom>
    </border>
    <border>
      <left style="thick">
        <color indexed="9"/>
      </left>
      <right style="thick">
        <color indexed="9"/>
      </right>
      <top>
        <color indexed="63"/>
      </top>
      <bottom style="thick">
        <color indexed="9"/>
      </bottom>
    </border>
    <border>
      <left style="thin">
        <color indexed="9"/>
      </left>
      <right style="thin">
        <color indexed="9"/>
      </right>
      <top>
        <color indexed="63"/>
      </top>
      <bottom style="thin">
        <color indexed="9"/>
      </bottom>
    </border>
    <border>
      <left style="thick">
        <color indexed="9"/>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ck">
        <color indexed="9"/>
      </right>
      <top>
        <color indexed="63"/>
      </top>
      <bottom style="thin">
        <color indexed="9"/>
      </bottom>
    </border>
    <border>
      <left>
        <color indexed="63"/>
      </left>
      <right style="thick">
        <color indexed="9"/>
      </right>
      <top>
        <color indexed="63"/>
      </top>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9"/>
      </left>
      <right style="thin">
        <color indexed="9"/>
      </right>
      <top style="thick">
        <color indexed="9"/>
      </top>
      <bottom>
        <color indexed="63"/>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ck">
        <color indexed="9"/>
      </left>
      <right style="thin">
        <color indexed="9"/>
      </right>
      <top style="thin">
        <color indexed="9"/>
      </top>
      <bottom>
        <color indexed="63"/>
      </bottom>
    </border>
    <border>
      <left style="thick">
        <color indexed="9"/>
      </left>
      <right style="thin">
        <color indexed="9"/>
      </right>
      <top>
        <color indexed="63"/>
      </top>
      <bottom>
        <color indexed="63"/>
      </bottom>
    </border>
    <border>
      <left style="thick">
        <color indexed="9"/>
      </left>
      <right style="thin">
        <color indexed="9"/>
      </right>
      <top>
        <color indexed="63"/>
      </top>
      <bottom style="thin">
        <color indexed="9"/>
      </bottom>
    </border>
    <border>
      <left>
        <color indexed="63"/>
      </left>
      <right>
        <color indexed="63"/>
      </right>
      <top>
        <color indexed="63"/>
      </top>
      <bottom style="thick">
        <color indexed="9"/>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7" borderId="1" applyNumberFormat="0" applyAlignment="0" applyProtection="0"/>
    <xf numFmtId="0" fontId="12" fillId="3"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13" fillId="22" borderId="0" applyNumberFormat="0" applyBorder="0" applyAlignment="0" applyProtection="0"/>
    <xf numFmtId="0" fontId="0" fillId="23" borderId="4" applyNumberFormat="0" applyFont="0" applyAlignment="0" applyProtection="0"/>
    <xf numFmtId="9" fontId="0" fillId="0" borderId="0" applyFill="0" applyBorder="0" applyAlignment="0" applyProtection="0"/>
    <xf numFmtId="0" fontId="14" fillId="16" borderId="5" applyNumberFormat="0" applyAlignment="0" applyProtection="0"/>
    <xf numFmtId="171" fontId="0" fillId="0" borderId="0" applyFill="0" applyBorder="0" applyAlignment="0" applyProtection="0"/>
    <xf numFmtId="169" fontId="0"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cellStyleXfs>
  <cellXfs count="92">
    <xf numFmtId="0" fontId="0" fillId="0" borderId="0" xfId="0" applyAlignment="1">
      <alignment/>
    </xf>
    <xf numFmtId="0" fontId="0" fillId="0" borderId="0" xfId="0" applyAlignment="1">
      <alignment horizontal="center"/>
    </xf>
    <xf numFmtId="4" fontId="0" fillId="0" borderId="0" xfId="0" applyNumberFormat="1" applyFont="1" applyAlignment="1">
      <alignment horizontal="center"/>
    </xf>
    <xf numFmtId="0" fontId="0" fillId="0" borderId="0" xfId="0" applyBorder="1" applyAlignment="1">
      <alignment/>
    </xf>
    <xf numFmtId="0" fontId="22" fillId="14" borderId="10"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12" xfId="0" applyFont="1" applyFill="1" applyBorder="1" applyAlignment="1">
      <alignment horizontal="center" vertical="center" wrapText="1"/>
    </xf>
    <xf numFmtId="176" fontId="22" fillId="14" borderId="11" xfId="0" applyNumberFormat="1" applyFont="1" applyFill="1" applyBorder="1" applyAlignment="1">
      <alignment horizontal="center" vertical="center" wrapText="1"/>
    </xf>
    <xf numFmtId="176" fontId="0" fillId="0" borderId="0" xfId="0" applyNumberFormat="1" applyAlignment="1">
      <alignment horizontal="justify"/>
    </xf>
    <xf numFmtId="0" fontId="2" fillId="24"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14" fontId="2" fillId="24" borderId="0" xfId="0" applyNumberFormat="1" applyFont="1" applyFill="1" applyBorder="1" applyAlignment="1">
      <alignment horizontal="center" vertical="center" wrapText="1"/>
    </xf>
    <xf numFmtId="14" fontId="3" fillId="24" borderId="0" xfId="0" applyNumberFormat="1" applyFont="1" applyFill="1" applyBorder="1" applyAlignment="1">
      <alignment horizontal="center" vertical="center" wrapText="1"/>
    </xf>
    <xf numFmtId="176" fontId="2" fillId="24" borderId="0" xfId="0" applyNumberFormat="1" applyFont="1" applyFill="1" applyBorder="1" applyAlignment="1">
      <alignment horizontal="center" vertical="center" wrapText="1"/>
    </xf>
    <xf numFmtId="171" fontId="4" fillId="24" borderId="13" xfId="0" applyNumberFormat="1" applyFont="1" applyFill="1" applyBorder="1" applyAlignment="1">
      <alignment horizontal="center" vertical="center"/>
    </xf>
    <xf numFmtId="0" fontId="2" fillId="0" borderId="14" xfId="0" applyFont="1" applyBorder="1" applyAlignment="1">
      <alignment vertical="center" wrapText="1"/>
    </xf>
    <xf numFmtId="43" fontId="3" fillId="24" borderId="0" xfId="0" applyNumberFormat="1" applyFont="1" applyFill="1" applyBorder="1" applyAlignment="1">
      <alignment horizontal="justify" vertical="center" wrapText="1"/>
    </xf>
    <xf numFmtId="43" fontId="0" fillId="0" borderId="0" xfId="0" applyNumberFormat="1" applyBorder="1" applyAlignment="1">
      <alignment/>
    </xf>
    <xf numFmtId="43" fontId="0" fillId="0" borderId="0" xfId="0" applyNumberFormat="1" applyAlignment="1">
      <alignment/>
    </xf>
    <xf numFmtId="170" fontId="0" fillId="0" borderId="0" xfId="45" applyAlignment="1">
      <alignment horizontal="justify"/>
    </xf>
    <xf numFmtId="0" fontId="2" fillId="0" borderId="15" xfId="0" applyFont="1" applyFill="1" applyBorder="1" applyAlignment="1">
      <alignment horizontal="left" vertical="center" wrapText="1" indent="1"/>
    </xf>
    <xf numFmtId="0" fontId="2" fillId="0" borderId="16" xfId="0" applyFont="1" applyFill="1" applyBorder="1" applyAlignment="1">
      <alignment horizontal="left" vertical="center" wrapText="1" indent="1"/>
    </xf>
    <xf numFmtId="14" fontId="3" fillId="0" borderId="14" xfId="0" applyNumberFormat="1" applyFont="1" applyFill="1" applyBorder="1" applyAlignment="1">
      <alignment horizontal="center" vertical="center" wrapText="1"/>
    </xf>
    <xf numFmtId="171" fontId="2" fillId="0" borderId="14" xfId="0" applyNumberFormat="1" applyFont="1" applyFill="1" applyBorder="1" applyAlignment="1">
      <alignment horizontal="center" vertical="center"/>
    </xf>
    <xf numFmtId="171" fontId="2" fillId="0" borderId="17"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Fill="1" applyBorder="1" applyAlignment="1">
      <alignment horizontal="left" vertical="center" wrapText="1" indent="1"/>
    </xf>
    <xf numFmtId="0" fontId="2" fillId="0" borderId="14" xfId="0" applyFont="1" applyFill="1" applyBorder="1" applyAlignment="1">
      <alignment horizontal="left" vertical="center" wrapText="1" indent="1"/>
    </xf>
    <xf numFmtId="14" fontId="3" fillId="0" borderId="0" xfId="0" applyNumberFormat="1" applyFont="1" applyFill="1" applyBorder="1" applyAlignment="1">
      <alignment horizontal="center" vertical="center" wrapText="1"/>
    </xf>
    <xf numFmtId="171" fontId="2" fillId="0" borderId="0"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wrapText="1"/>
    </xf>
    <xf numFmtId="0" fontId="3" fillId="0" borderId="0" xfId="0" applyFont="1" applyFill="1" applyBorder="1" applyAlignment="1">
      <alignment horizontal="justify" vertical="center" wrapText="1"/>
    </xf>
    <xf numFmtId="171" fontId="2" fillId="0" borderId="18"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19" xfId="0" applyFont="1" applyFill="1" applyBorder="1" applyAlignment="1">
      <alignment vertical="center" wrapText="1"/>
    </xf>
    <xf numFmtId="14" fontId="3" fillId="0" borderId="20" xfId="0" applyNumberFormat="1" applyFont="1" applyFill="1" applyBorder="1" applyAlignment="1">
      <alignment horizontal="center" vertical="center" wrapText="1"/>
    </xf>
    <xf numFmtId="171" fontId="2" fillId="0" borderId="20"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14" fontId="3" fillId="0" borderId="19" xfId="0" applyNumberFormat="1" applyFont="1" applyFill="1" applyBorder="1" applyAlignment="1">
      <alignment horizontal="center" vertical="center" wrapText="1"/>
    </xf>
    <xf numFmtId="0" fontId="3" fillId="0" borderId="14" xfId="0" applyFont="1" applyFill="1" applyBorder="1" applyAlignment="1">
      <alignment horizontal="justify" vertical="center" wrapText="1"/>
    </xf>
    <xf numFmtId="0" fontId="2" fillId="0" borderId="20" xfId="0" applyFont="1" applyFill="1" applyBorder="1" applyAlignment="1">
      <alignment vertical="center" wrapText="1"/>
    </xf>
    <xf numFmtId="0" fontId="2" fillId="0" borderId="20" xfId="0" applyFont="1" applyFill="1" applyBorder="1" applyAlignment="1">
      <alignment horizontal="left" vertical="center" wrapText="1" indent="1"/>
    </xf>
    <xf numFmtId="14" fontId="3" fillId="0" borderId="21" xfId="0" applyNumberFormat="1" applyFont="1" applyFill="1" applyBorder="1" applyAlignment="1">
      <alignment horizontal="center" vertical="center" wrapText="1"/>
    </xf>
    <xf numFmtId="171" fontId="2" fillId="0" borderId="21" xfId="0" applyNumberFormat="1" applyFont="1" applyFill="1" applyBorder="1" applyAlignment="1">
      <alignment vertical="center"/>
    </xf>
    <xf numFmtId="176" fontId="2" fillId="0" borderId="22" xfId="0" applyNumberFormat="1" applyFont="1" applyFill="1" applyBorder="1" applyAlignment="1">
      <alignment horizontal="center" vertical="center" wrapText="1"/>
    </xf>
    <xf numFmtId="0" fontId="3" fillId="0" borderId="21" xfId="0" applyFont="1" applyFill="1" applyBorder="1" applyAlignment="1">
      <alignment horizontal="justify" vertical="center" wrapText="1"/>
    </xf>
    <xf numFmtId="171" fontId="2" fillId="0" borderId="23" xfId="0" applyNumberFormat="1" applyFont="1" applyFill="1" applyBorder="1" applyAlignment="1">
      <alignment horizontal="center" vertical="center"/>
    </xf>
    <xf numFmtId="14" fontId="3" fillId="0" borderId="24"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14" fontId="3" fillId="0" borderId="20" xfId="0" applyNumberFormat="1" applyFont="1" applyFill="1" applyBorder="1" applyAlignment="1" quotePrefix="1">
      <alignment horizontal="center" vertical="center" wrapText="1"/>
    </xf>
    <xf numFmtId="171" fontId="2" fillId="0" borderId="20" xfId="0" applyNumberFormat="1" applyFont="1" applyFill="1" applyBorder="1" applyAlignment="1">
      <alignment vertical="center"/>
    </xf>
    <xf numFmtId="171" fontId="2" fillId="0" borderId="14" xfId="0" applyNumberFormat="1" applyFont="1" applyFill="1" applyBorder="1" applyAlignment="1">
      <alignment vertical="center"/>
    </xf>
    <xf numFmtId="0" fontId="3" fillId="0" borderId="16" xfId="0" applyFont="1" applyFill="1" applyBorder="1" applyAlignment="1">
      <alignment horizontal="justify" vertical="center" wrapText="1"/>
    </xf>
    <xf numFmtId="181" fontId="2" fillId="0" borderId="17" xfId="0" applyNumberFormat="1"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0" xfId="0" applyFont="1" applyBorder="1" applyAlignment="1">
      <alignment horizontal="center"/>
    </xf>
    <xf numFmtId="0" fontId="2" fillId="0" borderId="15" xfId="0" applyFont="1" applyFill="1" applyBorder="1" applyAlignment="1">
      <alignment horizontal="left" vertical="center" wrapText="1" indent="1"/>
    </xf>
    <xf numFmtId="0" fontId="2" fillId="0" borderId="16" xfId="0" applyFont="1" applyFill="1" applyBorder="1" applyAlignment="1">
      <alignment horizontal="left" vertical="center" wrapText="1" indent="1"/>
    </xf>
    <xf numFmtId="14" fontId="3" fillId="0" borderId="19"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19"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3" fillId="0" borderId="0" xfId="0" applyFont="1" applyBorder="1" applyAlignment="1">
      <alignment horizontal="center" vertical="center"/>
    </xf>
    <xf numFmtId="0" fontId="23" fillId="0" borderId="29" xfId="0" applyFont="1" applyBorder="1" applyAlignment="1">
      <alignment horizontal="center" vertical="center"/>
    </xf>
    <xf numFmtId="14" fontId="3" fillId="0" borderId="30" xfId="0" applyNumberFormat="1" applyFont="1" applyFill="1" applyBorder="1" applyAlignment="1">
      <alignment horizontal="center" vertical="center" wrapText="1"/>
    </xf>
    <xf numFmtId="14" fontId="3" fillId="0" borderId="25" xfId="0" applyNumberFormat="1" applyFont="1" applyFill="1" applyBorder="1" applyAlignment="1">
      <alignment horizontal="center" vertical="center" wrapText="1"/>
    </xf>
    <xf numFmtId="14" fontId="3" fillId="0" borderId="3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14" fontId="3" fillId="0" borderId="32" xfId="0" applyNumberFormat="1"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14" fontId="3" fillId="0" borderId="33"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14" fontId="3" fillId="0" borderId="21" xfId="0" applyNumberFormat="1" applyFont="1" applyFill="1" applyBorder="1" applyAlignment="1">
      <alignment horizontal="center" vertical="center" wrapText="1"/>
    </xf>
    <xf numFmtId="14" fontId="3" fillId="0" borderId="20" xfId="0" applyNumberFormat="1" applyFont="1" applyFill="1" applyBorder="1" applyAlignment="1">
      <alignment horizontal="center" vertical="center" wrapText="1"/>
    </xf>
    <xf numFmtId="0" fontId="3" fillId="0" borderId="21" xfId="0" applyFont="1" applyFill="1" applyBorder="1" applyAlignment="1">
      <alignment horizontal="justify" vertical="center" wrapText="1"/>
    </xf>
    <xf numFmtId="171" fontId="2" fillId="0" borderId="17" xfId="0" applyNumberFormat="1" applyFont="1" applyFill="1" applyBorder="1" applyAlignment="1">
      <alignment horizontal="left" vertical="center" inden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0"/>
  <sheetViews>
    <sheetView showGridLines="0" tabSelected="1" view="pageBreakPreview" zoomScale="85" zoomScaleSheetLayoutView="85" zoomScalePageLayoutView="0" workbookViewId="0" topLeftCell="A1">
      <pane ySplit="4" topLeftCell="BM91" activePane="bottomLeft" state="frozen"/>
      <selection pane="topLeft" activeCell="A1" sqref="A1"/>
      <selection pane="bottomLeft" activeCell="F6" sqref="F6"/>
    </sheetView>
  </sheetViews>
  <sheetFormatPr defaultColWidth="11.57421875" defaultRowHeight="36.75" customHeight="1"/>
  <cols>
    <col min="1" max="1" width="22.7109375" style="0" customWidth="1"/>
    <col min="2" max="3" width="35.7109375" style="0" customWidth="1"/>
    <col min="4" max="4" width="15.7109375" style="0" customWidth="1"/>
    <col min="5" max="5" width="18.7109375" style="0" customWidth="1"/>
    <col min="6" max="6" width="15.7109375" style="1" customWidth="1"/>
    <col min="7" max="7" width="17.421875" style="8" customWidth="1"/>
    <col min="8" max="8" width="43.140625" style="0" customWidth="1"/>
    <col min="9" max="9" width="18.00390625" style="2" customWidth="1"/>
    <col min="10" max="10" width="15.7109375" style="0" customWidth="1"/>
  </cols>
  <sheetData>
    <row r="1" spans="1:9" ht="30" customHeight="1">
      <c r="A1" s="78" t="s">
        <v>54</v>
      </c>
      <c r="B1" s="78"/>
      <c r="C1" s="78"/>
      <c r="D1" s="78"/>
      <c r="E1" s="78"/>
      <c r="F1" s="78"/>
      <c r="G1" s="78"/>
      <c r="H1" s="78"/>
      <c r="I1" s="78"/>
    </row>
    <row r="2" spans="1:9" ht="30" customHeight="1">
      <c r="A2" s="78" t="s">
        <v>128</v>
      </c>
      <c r="B2" s="78"/>
      <c r="C2" s="78"/>
      <c r="D2" s="78"/>
      <c r="E2" s="78"/>
      <c r="F2" s="78"/>
      <c r="G2" s="78"/>
      <c r="H2" s="78"/>
      <c r="I2" s="78"/>
    </row>
    <row r="3" spans="1:9" ht="30" customHeight="1" thickBot="1">
      <c r="A3" s="79" t="s">
        <v>55</v>
      </c>
      <c r="B3" s="79"/>
      <c r="C3" s="79"/>
      <c r="D3" s="79"/>
      <c r="E3" s="79"/>
      <c r="F3" s="79"/>
      <c r="G3" s="79"/>
      <c r="H3" s="79"/>
      <c r="I3" s="79"/>
    </row>
    <row r="4" spans="1:9" s="3" customFormat="1" ht="49.5" customHeight="1" thickBot="1" thickTop="1">
      <c r="A4" s="4" t="s">
        <v>82</v>
      </c>
      <c r="B4" s="5" t="s">
        <v>56</v>
      </c>
      <c r="C4" s="5" t="s">
        <v>57</v>
      </c>
      <c r="D4" s="5" t="s">
        <v>58</v>
      </c>
      <c r="E4" s="5" t="s">
        <v>59</v>
      </c>
      <c r="F4" s="5" t="s">
        <v>74</v>
      </c>
      <c r="G4" s="7" t="s">
        <v>60</v>
      </c>
      <c r="H4" s="5" t="s">
        <v>61</v>
      </c>
      <c r="I4" s="6" t="s">
        <v>230</v>
      </c>
    </row>
    <row r="5" spans="1:10" s="3" customFormat="1" ht="100.5" customHeight="1" thickBot="1" thickTop="1">
      <c r="A5" s="20" t="s">
        <v>129</v>
      </c>
      <c r="B5" s="39" t="s">
        <v>72</v>
      </c>
      <c r="C5" s="39" t="s">
        <v>94</v>
      </c>
      <c r="D5" s="46">
        <v>43102</v>
      </c>
      <c r="E5" s="46">
        <v>43465</v>
      </c>
      <c r="F5" s="47">
        <v>335100</v>
      </c>
      <c r="G5" s="48">
        <v>1</v>
      </c>
      <c r="H5" s="49" t="s">
        <v>130</v>
      </c>
      <c r="I5" s="50">
        <f>27925+27925+27925+27925+27925+27925+27925+27925+27925+27925</f>
        <v>279250</v>
      </c>
      <c r="J5" s="17"/>
    </row>
    <row r="6" spans="1:10" s="3" customFormat="1" ht="165" customHeight="1" thickTop="1">
      <c r="A6" s="20" t="s">
        <v>131</v>
      </c>
      <c r="B6" s="21" t="s">
        <v>66</v>
      </c>
      <c r="C6" s="21" t="s">
        <v>75</v>
      </c>
      <c r="D6" s="22">
        <v>43101</v>
      </c>
      <c r="E6" s="22">
        <v>43465</v>
      </c>
      <c r="F6" s="23">
        <f>892620-25897</f>
        <v>866723</v>
      </c>
      <c r="G6" s="48">
        <v>2</v>
      </c>
      <c r="H6" s="49" t="s">
        <v>132</v>
      </c>
      <c r="I6" s="24">
        <f>74385+71079+71630+70528+70528+69977+71079+71630+72732+74385</f>
        <v>717953</v>
      </c>
      <c r="J6" s="17"/>
    </row>
    <row r="7" spans="1:10" s="3" customFormat="1" ht="56.25" customHeight="1">
      <c r="A7" s="75" t="s">
        <v>135</v>
      </c>
      <c r="B7" s="72" t="s">
        <v>70</v>
      </c>
      <c r="C7" s="72" t="s">
        <v>78</v>
      </c>
      <c r="D7" s="84">
        <v>43102</v>
      </c>
      <c r="E7" s="80">
        <v>43465</v>
      </c>
      <c r="F7" s="23">
        <v>248000</v>
      </c>
      <c r="G7" s="25">
        <v>1</v>
      </c>
      <c r="H7" s="83" t="s">
        <v>133</v>
      </c>
      <c r="I7" s="24">
        <f>18000+18000+18000+7980+20660+20660+20660+20660+20660+20660+20660</f>
        <v>206600</v>
      </c>
      <c r="J7" s="17"/>
    </row>
    <row r="8" spans="1:10" s="3" customFormat="1" ht="51.75" customHeight="1">
      <c r="A8" s="76"/>
      <c r="B8" s="73"/>
      <c r="C8" s="73"/>
      <c r="D8" s="85"/>
      <c r="E8" s="81"/>
      <c r="F8" s="23">
        <v>120000</v>
      </c>
      <c r="G8" s="25">
        <v>2</v>
      </c>
      <c r="H8" s="83"/>
      <c r="I8" s="24">
        <f>15000+15000+15000+15000+15000+15000</f>
        <v>90000</v>
      </c>
      <c r="J8" s="17"/>
    </row>
    <row r="9" spans="1:10" s="3" customFormat="1" ht="41.25" customHeight="1">
      <c r="A9" s="77"/>
      <c r="B9" s="74"/>
      <c r="C9" s="74"/>
      <c r="D9" s="86"/>
      <c r="E9" s="82"/>
      <c r="F9" s="23">
        <v>175000</v>
      </c>
      <c r="G9" s="25">
        <v>5</v>
      </c>
      <c r="H9" s="53"/>
      <c r="I9" s="24">
        <f>15000+15000+15000+28770+24590+9590+9590+9590+9590+9590+9590+9590</f>
        <v>165490</v>
      </c>
      <c r="J9" s="17"/>
    </row>
    <row r="10" spans="1:10" s="3" customFormat="1" ht="48.75" customHeight="1">
      <c r="A10" s="75" t="s">
        <v>134</v>
      </c>
      <c r="B10" s="72" t="s">
        <v>70</v>
      </c>
      <c r="C10" s="72" t="s">
        <v>78</v>
      </c>
      <c r="D10" s="84">
        <v>43102</v>
      </c>
      <c r="E10" s="80">
        <v>43465</v>
      </c>
      <c r="F10" s="23">
        <f>480047.54+42000</f>
        <v>522047.54</v>
      </c>
      <c r="G10" s="25">
        <v>1</v>
      </c>
      <c r="H10" s="54" t="s">
        <v>136</v>
      </c>
      <c r="I10" s="24">
        <f>10952.46+26047.54+37000+37000+9000+40000+40000+40000+40000+40000+40000+40000+10500+10500</f>
        <v>421000</v>
      </c>
      <c r="J10" s="17"/>
    </row>
    <row r="11" spans="1:10" s="3" customFormat="1" ht="51" customHeight="1">
      <c r="A11" s="76"/>
      <c r="B11" s="73"/>
      <c r="C11" s="73"/>
      <c r="D11" s="85"/>
      <c r="E11" s="81"/>
      <c r="F11" s="23">
        <v>130000</v>
      </c>
      <c r="G11" s="25">
        <v>2</v>
      </c>
      <c r="H11" s="83"/>
      <c r="I11" s="24">
        <f>14640+14640+12720+1920+14640+14640+4240+10400</f>
        <v>87840</v>
      </c>
      <c r="J11" s="17"/>
    </row>
    <row r="12" spans="1:10" s="3" customFormat="1" ht="48" customHeight="1">
      <c r="A12" s="77"/>
      <c r="B12" s="74"/>
      <c r="C12" s="74"/>
      <c r="D12" s="86"/>
      <c r="E12" s="82"/>
      <c r="F12" s="23">
        <f>138000+9551</f>
        <v>147551</v>
      </c>
      <c r="G12" s="25">
        <v>5</v>
      </c>
      <c r="H12" s="53"/>
      <c r="I12" s="24">
        <f>6000+6000+6000+6000+12000+23511+7500+22337+5000+2697+5000+2697+5000+2697+5000+2697+5000+2697+2697+2387.75+5000+2307+163+2387+2387+1.5</f>
        <v>145163.25</v>
      </c>
      <c r="J12" s="17"/>
    </row>
    <row r="13" spans="1:10" s="3" customFormat="1" ht="85.5" customHeight="1">
      <c r="A13" s="20" t="s">
        <v>137</v>
      </c>
      <c r="B13" s="21" t="s">
        <v>138</v>
      </c>
      <c r="C13" s="21" t="s">
        <v>139</v>
      </c>
      <c r="D13" s="22">
        <v>43102</v>
      </c>
      <c r="E13" s="22">
        <v>43465</v>
      </c>
      <c r="F13" s="23">
        <v>700000</v>
      </c>
      <c r="G13" s="25">
        <v>1</v>
      </c>
      <c r="H13" s="26" t="s">
        <v>140</v>
      </c>
      <c r="I13" s="24">
        <f>60000+160000+60000+60000+60000+50000+50000+50000+50000</f>
        <v>600000</v>
      </c>
      <c r="J13" s="17"/>
    </row>
    <row r="14" spans="1:10" s="3" customFormat="1" ht="100.5" customHeight="1">
      <c r="A14" s="20" t="s">
        <v>151</v>
      </c>
      <c r="B14" s="21" t="s">
        <v>152</v>
      </c>
      <c r="C14" s="21" t="s">
        <v>153</v>
      </c>
      <c r="D14" s="22">
        <v>43119</v>
      </c>
      <c r="E14" s="22">
        <v>43465</v>
      </c>
      <c r="F14" s="23">
        <v>720000</v>
      </c>
      <c r="G14" s="25">
        <v>1</v>
      </c>
      <c r="H14" s="26" t="s">
        <v>154</v>
      </c>
      <c r="I14" s="24">
        <f>60000+60000+60000+60000+60000+60000+60000+60000+60000+60000</f>
        <v>600000</v>
      </c>
      <c r="J14" s="17"/>
    </row>
    <row r="15" spans="1:10" s="3" customFormat="1" ht="64.5" customHeight="1">
      <c r="A15" s="20" t="s">
        <v>155</v>
      </c>
      <c r="B15" s="21" t="s">
        <v>156</v>
      </c>
      <c r="C15" s="21" t="s">
        <v>157</v>
      </c>
      <c r="D15" s="22">
        <v>43138</v>
      </c>
      <c r="E15" s="22">
        <v>43465</v>
      </c>
      <c r="F15" s="23">
        <v>260000</v>
      </c>
      <c r="G15" s="25">
        <v>1</v>
      </c>
      <c r="H15" s="26" t="s">
        <v>158</v>
      </c>
      <c r="I15" s="24">
        <f>60000+20000+20000+20000+20000+20000+20000+20000+20000</f>
        <v>220000</v>
      </c>
      <c r="J15" s="17"/>
    </row>
    <row r="16" spans="1:10" s="3" customFormat="1" ht="75" customHeight="1">
      <c r="A16" s="20" t="s">
        <v>148</v>
      </c>
      <c r="B16" s="21" t="s">
        <v>145</v>
      </c>
      <c r="C16" s="21" t="s">
        <v>146</v>
      </c>
      <c r="D16" s="22">
        <v>43132</v>
      </c>
      <c r="E16" s="22">
        <v>43465</v>
      </c>
      <c r="F16" s="23">
        <v>80000</v>
      </c>
      <c r="G16" s="25">
        <v>2</v>
      </c>
      <c r="H16" s="26" t="s">
        <v>147</v>
      </c>
      <c r="I16" s="24">
        <f>8000+8000+8000+8000+8000+8000+8000+8000+8000</f>
        <v>72000</v>
      </c>
      <c r="J16" s="17"/>
    </row>
    <row r="17" spans="1:10" s="3" customFormat="1" ht="81.75" customHeight="1">
      <c r="A17" s="20" t="s">
        <v>149</v>
      </c>
      <c r="B17" s="21" t="s">
        <v>145</v>
      </c>
      <c r="C17" s="21" t="s">
        <v>146</v>
      </c>
      <c r="D17" s="22">
        <v>43132</v>
      </c>
      <c r="E17" s="22">
        <v>43465</v>
      </c>
      <c r="F17" s="23">
        <v>80000</v>
      </c>
      <c r="G17" s="25">
        <v>2</v>
      </c>
      <c r="H17" s="26" t="s">
        <v>150</v>
      </c>
      <c r="I17" s="24">
        <f>8000+8000+8000+8000+8000+8000+8000+8000+8000</f>
        <v>72000</v>
      </c>
      <c r="J17" s="17"/>
    </row>
    <row r="18" spans="1:10" s="3" customFormat="1" ht="62.25" customHeight="1">
      <c r="A18" s="20" t="s">
        <v>141</v>
      </c>
      <c r="B18" s="39" t="s">
        <v>142</v>
      </c>
      <c r="C18" s="39" t="s">
        <v>143</v>
      </c>
      <c r="D18" s="42">
        <v>43132</v>
      </c>
      <c r="E18" s="42">
        <v>43465</v>
      </c>
      <c r="F18" s="23">
        <v>268000</v>
      </c>
      <c r="G18" s="25">
        <v>2</v>
      </c>
      <c r="H18" s="41" t="s">
        <v>144</v>
      </c>
      <c r="I18" s="24">
        <f>26800+26800+26800+26800+26800+26800+26800+26800+26800</f>
        <v>241200</v>
      </c>
      <c r="J18" s="17"/>
    </row>
    <row r="19" spans="1:10" s="3" customFormat="1" ht="118.5" customHeight="1">
      <c r="A19" s="20" t="s">
        <v>159</v>
      </c>
      <c r="B19" s="39" t="s">
        <v>142</v>
      </c>
      <c r="C19" s="39" t="s">
        <v>143</v>
      </c>
      <c r="D19" s="42">
        <v>43132</v>
      </c>
      <c r="E19" s="42">
        <v>43465</v>
      </c>
      <c r="F19" s="23">
        <v>320000</v>
      </c>
      <c r="G19" s="25">
        <v>2</v>
      </c>
      <c r="H19" s="41" t="s">
        <v>160</v>
      </c>
      <c r="I19" s="24">
        <f>32000+32000+32000+32000+32000+32000+32000+32000+32000</f>
        <v>288000</v>
      </c>
      <c r="J19" s="17"/>
    </row>
    <row r="20" spans="1:10" s="3" customFormat="1" ht="69" customHeight="1">
      <c r="A20" s="20" t="s">
        <v>161</v>
      </c>
      <c r="B20" s="39" t="s">
        <v>162</v>
      </c>
      <c r="C20" s="39" t="s">
        <v>163</v>
      </c>
      <c r="D20" s="42">
        <v>43145</v>
      </c>
      <c r="E20" s="42">
        <v>43465</v>
      </c>
      <c r="F20" s="23">
        <v>80000</v>
      </c>
      <c r="G20" s="25">
        <v>2</v>
      </c>
      <c r="H20" s="41" t="s">
        <v>164</v>
      </c>
      <c r="I20" s="24">
        <f>8000+8000+8000+8000+8000+8000+8000+8000+8000</f>
        <v>72000</v>
      </c>
      <c r="J20" s="17"/>
    </row>
    <row r="21" spans="1:10" s="3" customFormat="1" ht="84.75" customHeight="1">
      <c r="A21" s="20" t="s">
        <v>165</v>
      </c>
      <c r="B21" s="39" t="s">
        <v>162</v>
      </c>
      <c r="C21" s="39" t="s">
        <v>163</v>
      </c>
      <c r="D21" s="42">
        <v>43150</v>
      </c>
      <c r="E21" s="42">
        <v>43465</v>
      </c>
      <c r="F21" s="23">
        <v>128500</v>
      </c>
      <c r="G21" s="25">
        <v>2</v>
      </c>
      <c r="H21" s="41" t="s">
        <v>166</v>
      </c>
      <c r="I21" s="24">
        <f>12850+12850+12850+12850+12850+12850+12850+12850+12850</f>
        <v>115650</v>
      </c>
      <c r="J21" s="17"/>
    </row>
    <row r="22" spans="1:10" s="3" customFormat="1" ht="76.5" customHeight="1">
      <c r="A22" s="20" t="s">
        <v>167</v>
      </c>
      <c r="B22" s="39" t="s">
        <v>168</v>
      </c>
      <c r="C22" s="39" t="s">
        <v>169</v>
      </c>
      <c r="D22" s="42">
        <v>43147</v>
      </c>
      <c r="E22" s="42">
        <v>43465</v>
      </c>
      <c r="F22" s="23">
        <v>149000</v>
      </c>
      <c r="G22" s="25">
        <v>1</v>
      </c>
      <c r="H22" s="41" t="s">
        <v>170</v>
      </c>
      <c r="I22" s="24">
        <f>13545.5+13545.45+13545.45+13545.45+13545.45+13545.45+13545.45+13545.45+13545.45</f>
        <v>121909.09999999999</v>
      </c>
      <c r="J22" s="17"/>
    </row>
    <row r="23" spans="1:10" s="3" customFormat="1" ht="72.75" customHeight="1">
      <c r="A23" s="20" t="s">
        <v>171</v>
      </c>
      <c r="B23" s="39" t="s">
        <v>172</v>
      </c>
      <c r="C23" s="39" t="s">
        <v>173</v>
      </c>
      <c r="D23" s="42"/>
      <c r="E23" s="42">
        <v>43465</v>
      </c>
      <c r="F23" s="23">
        <v>120000</v>
      </c>
      <c r="G23" s="25">
        <v>1</v>
      </c>
      <c r="H23" s="41" t="s">
        <v>174</v>
      </c>
      <c r="I23" s="24">
        <f>20000+10000+10000+10000+10000+10000+10000+10000+10000</f>
        <v>100000</v>
      </c>
      <c r="J23" s="17"/>
    </row>
    <row r="24" spans="1:10" s="3" customFormat="1" ht="105.75" customHeight="1">
      <c r="A24" s="20" t="s">
        <v>175</v>
      </c>
      <c r="B24" s="39" t="s">
        <v>172</v>
      </c>
      <c r="C24" s="39" t="s">
        <v>173</v>
      </c>
      <c r="D24" s="42"/>
      <c r="E24" s="42">
        <v>43465</v>
      </c>
      <c r="F24" s="23">
        <v>180000</v>
      </c>
      <c r="G24" s="25">
        <v>1</v>
      </c>
      <c r="H24" s="41" t="s">
        <v>176</v>
      </c>
      <c r="I24" s="24">
        <f>30000+15000+15000+15000+15000+15000+15000+15000+15000</f>
        <v>150000</v>
      </c>
      <c r="J24" s="17"/>
    </row>
    <row r="25" spans="1:10" s="3" customFormat="1" ht="105.75" customHeight="1">
      <c r="A25" s="20" t="s">
        <v>198</v>
      </c>
      <c r="B25" s="40" t="s">
        <v>199</v>
      </c>
      <c r="C25" s="40" t="s">
        <v>200</v>
      </c>
      <c r="D25" s="36">
        <v>43164</v>
      </c>
      <c r="E25" s="36">
        <v>43465</v>
      </c>
      <c r="F25" s="37">
        <v>52000</v>
      </c>
      <c r="G25" s="25">
        <v>1</v>
      </c>
      <c r="H25" s="38" t="s">
        <v>201</v>
      </c>
      <c r="I25" s="24">
        <f>16000+4000+4000+4000</f>
        <v>28000</v>
      </c>
      <c r="J25" s="17"/>
    </row>
    <row r="26" spans="1:10" s="3" customFormat="1" ht="105.75" customHeight="1">
      <c r="A26" s="20" t="s">
        <v>202</v>
      </c>
      <c r="B26" s="39" t="s">
        <v>168</v>
      </c>
      <c r="C26" s="39" t="s">
        <v>169</v>
      </c>
      <c r="D26" s="36">
        <v>43208</v>
      </c>
      <c r="E26" s="36">
        <v>43465</v>
      </c>
      <c r="F26" s="37">
        <v>400000</v>
      </c>
      <c r="G26" s="25">
        <v>1</v>
      </c>
      <c r="H26" s="38" t="s">
        <v>203</v>
      </c>
      <c r="I26" s="24">
        <f>44444.44+44444.44+44444.44+44444.44+44444.44+44444.44+44444.44</f>
        <v>311111.08</v>
      </c>
      <c r="J26" s="17"/>
    </row>
    <row r="27" spans="1:10" s="3" customFormat="1" ht="105.75" customHeight="1">
      <c r="A27" s="20" t="s">
        <v>214</v>
      </c>
      <c r="B27" s="40" t="s">
        <v>72</v>
      </c>
      <c r="C27" s="39" t="s">
        <v>94</v>
      </c>
      <c r="D27" s="36">
        <v>43216</v>
      </c>
      <c r="E27" s="36">
        <v>43465</v>
      </c>
      <c r="F27" s="37">
        <v>70000</v>
      </c>
      <c r="G27" s="25">
        <v>1</v>
      </c>
      <c r="H27" s="38" t="s">
        <v>211</v>
      </c>
      <c r="I27" s="24">
        <f>7800+7800+7800+7725+7775</f>
        <v>38900</v>
      </c>
      <c r="J27" s="17"/>
    </row>
    <row r="28" spans="1:10" s="3" customFormat="1" ht="105.75" customHeight="1">
      <c r="A28" s="20" t="s">
        <v>205</v>
      </c>
      <c r="B28" s="40" t="s">
        <v>206</v>
      </c>
      <c r="C28" s="40" t="s">
        <v>207</v>
      </c>
      <c r="D28" s="36">
        <v>43216</v>
      </c>
      <c r="E28" s="36">
        <v>43491</v>
      </c>
      <c r="F28" s="37">
        <v>60000</v>
      </c>
      <c r="G28" s="25">
        <v>1</v>
      </c>
      <c r="H28" s="38" t="s">
        <v>204</v>
      </c>
      <c r="I28" s="24">
        <f>6700+6662.5+6662.5+6662.5+6662.5+6662.5+6662.5</f>
        <v>46675</v>
      </c>
      <c r="J28" s="17"/>
    </row>
    <row r="29" spans="1:10" s="3" customFormat="1" ht="105.75" customHeight="1">
      <c r="A29" s="20" t="s">
        <v>208</v>
      </c>
      <c r="B29" s="40" t="s">
        <v>206</v>
      </c>
      <c r="C29" s="40" t="s">
        <v>207</v>
      </c>
      <c r="D29" s="36">
        <v>43216</v>
      </c>
      <c r="E29" s="36">
        <v>43491</v>
      </c>
      <c r="F29" s="37">
        <v>100000</v>
      </c>
      <c r="G29" s="25">
        <v>1</v>
      </c>
      <c r="H29" s="38" t="s">
        <v>209</v>
      </c>
      <c r="I29" s="24">
        <f>11200+11100+11100+11100+11100+11100+11100</f>
        <v>77800</v>
      </c>
      <c r="J29" s="17"/>
    </row>
    <row r="30" spans="1:10" s="3" customFormat="1" ht="105.75" customHeight="1">
      <c r="A30" s="20" t="s">
        <v>212</v>
      </c>
      <c r="B30" s="21" t="s">
        <v>183</v>
      </c>
      <c r="C30" s="21" t="s">
        <v>184</v>
      </c>
      <c r="D30" s="36">
        <v>43255</v>
      </c>
      <c r="E30" s="36">
        <v>43312</v>
      </c>
      <c r="F30" s="37">
        <v>147443</v>
      </c>
      <c r="G30" s="25">
        <v>1</v>
      </c>
      <c r="H30" s="38" t="s">
        <v>213</v>
      </c>
      <c r="I30" s="24">
        <v>147443</v>
      </c>
      <c r="J30" s="17"/>
    </row>
    <row r="31" spans="1:10" s="3" customFormat="1" ht="105.75" customHeight="1">
      <c r="A31" s="20" t="s">
        <v>215</v>
      </c>
      <c r="B31" s="45" t="s">
        <v>217</v>
      </c>
      <c r="C31" s="45" t="s">
        <v>216</v>
      </c>
      <c r="D31" s="36">
        <v>43311</v>
      </c>
      <c r="E31" s="36">
        <v>43465</v>
      </c>
      <c r="F31" s="37">
        <v>166000</v>
      </c>
      <c r="G31" s="25">
        <v>1</v>
      </c>
      <c r="H31" s="38" t="s">
        <v>218</v>
      </c>
      <c r="I31" s="24">
        <f>93167+18208.25+18208.25</f>
        <v>129583.5</v>
      </c>
      <c r="J31" s="17"/>
    </row>
    <row r="32" spans="1:10" s="3" customFormat="1" ht="105.75" customHeight="1">
      <c r="A32" s="20" t="s">
        <v>220</v>
      </c>
      <c r="B32" s="45" t="s">
        <v>70</v>
      </c>
      <c r="C32" s="45" t="s">
        <v>78</v>
      </c>
      <c r="D32" s="36">
        <v>43326</v>
      </c>
      <c r="E32" s="36">
        <v>43448</v>
      </c>
      <c r="F32" s="37">
        <v>41329</v>
      </c>
      <c r="G32" s="25">
        <v>3</v>
      </c>
      <c r="H32" s="38" t="s">
        <v>219</v>
      </c>
      <c r="I32" s="24">
        <f>20664.5+20664.5</f>
        <v>41329</v>
      </c>
      <c r="J32" s="17"/>
    </row>
    <row r="33" spans="1:10" s="3" customFormat="1" ht="105.75" customHeight="1">
      <c r="A33" s="20" t="s">
        <v>221</v>
      </c>
      <c r="B33" s="40" t="s">
        <v>67</v>
      </c>
      <c r="C33" s="40" t="s">
        <v>77</v>
      </c>
      <c r="D33" s="36">
        <v>43333</v>
      </c>
      <c r="E33" s="36" t="s">
        <v>222</v>
      </c>
      <c r="F33" s="37">
        <v>23763.68</v>
      </c>
      <c r="G33" s="25">
        <v>3</v>
      </c>
      <c r="H33" s="38" t="s">
        <v>223</v>
      </c>
      <c r="I33" s="24">
        <f>4755.68+4752</f>
        <v>9507.68</v>
      </c>
      <c r="J33" s="17"/>
    </row>
    <row r="34" spans="1:10" s="3" customFormat="1" ht="105.75" customHeight="1">
      <c r="A34" s="20" t="s">
        <v>224</v>
      </c>
      <c r="B34" s="55" t="s">
        <v>66</v>
      </c>
      <c r="C34" s="55" t="s">
        <v>75</v>
      </c>
      <c r="D34" s="36">
        <v>43333</v>
      </c>
      <c r="E34" s="36" t="s">
        <v>225</v>
      </c>
      <c r="F34" s="37">
        <v>17499.34</v>
      </c>
      <c r="G34" s="25">
        <v>3</v>
      </c>
      <c r="H34" s="38" t="s">
        <v>226</v>
      </c>
      <c r="I34" s="24">
        <f>1458.37+1458.27</f>
        <v>2916.64</v>
      </c>
      <c r="J34" s="17"/>
    </row>
    <row r="35" spans="1:10" s="3" customFormat="1" ht="105.75" customHeight="1" thickBot="1">
      <c r="A35" s="20" t="s">
        <v>227</v>
      </c>
      <c r="B35" s="40" t="s">
        <v>72</v>
      </c>
      <c r="C35" s="40" t="s">
        <v>94</v>
      </c>
      <c r="D35" s="56">
        <v>43335</v>
      </c>
      <c r="E35" s="36" t="s">
        <v>228</v>
      </c>
      <c r="F35" s="37">
        <v>160000</v>
      </c>
      <c r="G35" s="25">
        <v>3</v>
      </c>
      <c r="H35" s="38" t="s">
        <v>229</v>
      </c>
      <c r="I35" s="24">
        <f>13370+13330</f>
        <v>26700</v>
      </c>
      <c r="J35" s="17"/>
    </row>
    <row r="36" spans="1:10" s="3" customFormat="1" ht="27.75" customHeight="1" thickTop="1">
      <c r="A36" s="65" t="s">
        <v>28</v>
      </c>
      <c r="B36" s="87" t="s">
        <v>67</v>
      </c>
      <c r="C36" s="87" t="s">
        <v>77</v>
      </c>
      <c r="D36" s="88">
        <v>43101</v>
      </c>
      <c r="E36" s="88">
        <v>43465</v>
      </c>
      <c r="F36" s="47">
        <v>114044.84</v>
      </c>
      <c r="G36" s="48">
        <v>1</v>
      </c>
      <c r="H36" s="90" t="s">
        <v>27</v>
      </c>
      <c r="I36" s="50">
        <f>9000+9000+9000+9000+9000+9000+9000+9000+9000+9000</f>
        <v>90000</v>
      </c>
      <c r="J36" s="17"/>
    </row>
    <row r="37" spans="1:10" s="3" customFormat="1" ht="27.75" customHeight="1">
      <c r="A37" s="65"/>
      <c r="B37" s="73"/>
      <c r="C37" s="73"/>
      <c r="D37" s="89"/>
      <c r="E37" s="89"/>
      <c r="F37" s="57">
        <v>14428.57</v>
      </c>
      <c r="G37" s="25">
        <v>2</v>
      </c>
      <c r="H37" s="70"/>
      <c r="I37" s="24">
        <f>2809.89+900+900+900+900+900</f>
        <v>7309.889999999999</v>
      </c>
      <c r="J37" s="17"/>
    </row>
    <row r="38" spans="1:10" s="3" customFormat="1" ht="64.5" customHeight="1" thickBot="1">
      <c r="A38" s="65"/>
      <c r="B38" s="74"/>
      <c r="C38" s="74"/>
      <c r="D38" s="68"/>
      <c r="E38" s="68"/>
      <c r="F38" s="58">
        <v>130726.59</v>
      </c>
      <c r="G38" s="25">
        <v>5</v>
      </c>
      <c r="H38" s="71"/>
      <c r="I38" s="24">
        <f>10000+10000+10000+10000+10000+10000+10000+10000+10000+10000+15000</f>
        <v>115000</v>
      </c>
      <c r="J38" s="17"/>
    </row>
    <row r="39" spans="1:10" s="3" customFormat="1" ht="36" customHeight="1" thickTop="1">
      <c r="A39" s="65" t="s">
        <v>18</v>
      </c>
      <c r="B39" s="72" t="s">
        <v>72</v>
      </c>
      <c r="C39" s="72" t="s">
        <v>94</v>
      </c>
      <c r="D39" s="67">
        <v>43101</v>
      </c>
      <c r="E39" s="67">
        <v>43465</v>
      </c>
      <c r="F39" s="23">
        <v>80983.71</v>
      </c>
      <c r="G39" s="48">
        <v>1</v>
      </c>
      <c r="H39" s="90" t="s">
        <v>17</v>
      </c>
      <c r="I39" s="24">
        <f>6500+6500+6500+6500+6500+6500+6500+6500+6500+6500</f>
        <v>65000</v>
      </c>
      <c r="J39" s="17"/>
    </row>
    <row r="40" spans="1:10" s="3" customFormat="1" ht="36" customHeight="1">
      <c r="A40" s="65"/>
      <c r="B40" s="73"/>
      <c r="C40" s="73"/>
      <c r="D40" s="89"/>
      <c r="E40" s="89"/>
      <c r="F40" s="23">
        <v>14428.57</v>
      </c>
      <c r="G40" s="25">
        <v>2</v>
      </c>
      <c r="H40" s="70"/>
      <c r="I40" s="24">
        <f>2809.89+900+900+900+900+900</f>
        <v>7309.889999999999</v>
      </c>
      <c r="J40" s="17"/>
    </row>
    <row r="41" spans="1:10" s="3" customFormat="1" ht="36" customHeight="1">
      <c r="A41" s="65"/>
      <c r="B41" s="74"/>
      <c r="C41" s="74"/>
      <c r="D41" s="68"/>
      <c r="E41" s="68"/>
      <c r="F41" s="23">
        <v>62987.72</v>
      </c>
      <c r="G41" s="25">
        <v>5</v>
      </c>
      <c r="H41" s="71"/>
      <c r="I41" s="24">
        <f>4493.86+4493.86+3000+3000+3000+3000+3000+4000+7000+7000+7000+7000</f>
        <v>55987.72</v>
      </c>
      <c r="J41" s="17"/>
    </row>
    <row r="42" spans="1:10" s="3" customFormat="1" ht="66" customHeight="1">
      <c r="A42" s="65" t="s">
        <v>16</v>
      </c>
      <c r="B42" s="66" t="s">
        <v>70</v>
      </c>
      <c r="C42" s="66" t="s">
        <v>78</v>
      </c>
      <c r="D42" s="67">
        <v>43101</v>
      </c>
      <c r="E42" s="67">
        <v>43465</v>
      </c>
      <c r="F42" s="23">
        <v>459140</v>
      </c>
      <c r="G42" s="25">
        <v>1</v>
      </c>
      <c r="H42" s="69" t="s">
        <v>15</v>
      </c>
      <c r="I42" s="24">
        <f>35000+35000+35000+35000+35000+35000+35000+35000+35000+35000</f>
        <v>350000</v>
      </c>
      <c r="J42" s="17"/>
    </row>
    <row r="43" spans="1:10" s="3" customFormat="1" ht="71.25" customHeight="1">
      <c r="A43" s="65"/>
      <c r="B43" s="66"/>
      <c r="C43" s="66"/>
      <c r="D43" s="68"/>
      <c r="E43" s="68"/>
      <c r="F43" s="23">
        <v>60000</v>
      </c>
      <c r="G43" s="25">
        <v>5</v>
      </c>
      <c r="H43" s="70"/>
      <c r="I43" s="24">
        <f>5000+5000+5000+5000+5000+5000+5000+5000+5000+5000+4911+4911+5000+4911</f>
        <v>69733</v>
      </c>
      <c r="J43" s="17"/>
    </row>
    <row r="44" spans="1:10" s="3" customFormat="1" ht="51.75" customHeight="1">
      <c r="A44" s="65" t="s">
        <v>24</v>
      </c>
      <c r="B44" s="66" t="s">
        <v>21</v>
      </c>
      <c r="C44" s="66" t="s">
        <v>22</v>
      </c>
      <c r="D44" s="67">
        <v>43101</v>
      </c>
      <c r="E44" s="67">
        <v>43465</v>
      </c>
      <c r="F44" s="23">
        <v>459140</v>
      </c>
      <c r="G44" s="25">
        <v>1</v>
      </c>
      <c r="H44" s="69" t="s">
        <v>23</v>
      </c>
      <c r="I44" s="24">
        <f>35000+35000+35000+35000+35000+35000+35000+35000+35000+35000</f>
        <v>350000</v>
      </c>
      <c r="J44" s="17"/>
    </row>
    <row r="45" spans="1:10" s="3" customFormat="1" ht="37.5" customHeight="1">
      <c r="A45" s="65"/>
      <c r="B45" s="66"/>
      <c r="C45" s="66"/>
      <c r="D45" s="68"/>
      <c r="E45" s="68"/>
      <c r="F45" s="23">
        <v>60000</v>
      </c>
      <c r="G45" s="25">
        <v>5</v>
      </c>
      <c r="H45" s="70"/>
      <c r="I45" s="24">
        <f>5000+5000+5000+5000+5000+5000+5000+5000+5000+5000</f>
        <v>50000</v>
      </c>
      <c r="J45" s="17"/>
    </row>
    <row r="46" spans="1:10" s="3" customFormat="1" ht="30" customHeight="1">
      <c r="A46" s="65" t="s">
        <v>20</v>
      </c>
      <c r="B46" s="66" t="s">
        <v>67</v>
      </c>
      <c r="C46" s="66" t="s">
        <v>77</v>
      </c>
      <c r="D46" s="67">
        <v>43101</v>
      </c>
      <c r="E46" s="67">
        <v>43465</v>
      </c>
      <c r="F46" s="23">
        <v>72314.29</v>
      </c>
      <c r="G46" s="25">
        <v>1</v>
      </c>
      <c r="H46" s="69" t="s">
        <v>19</v>
      </c>
      <c r="I46" s="24">
        <f>6314.29+6000+6000+6000+6000+6000+6000+6000+6000+6000</f>
        <v>60314.29</v>
      </c>
      <c r="J46" s="17"/>
    </row>
    <row r="47" spans="1:10" s="3" customFormat="1" ht="33.75" customHeight="1">
      <c r="A47" s="65"/>
      <c r="B47" s="66"/>
      <c r="C47" s="66"/>
      <c r="D47" s="89"/>
      <c r="E47" s="89"/>
      <c r="F47" s="23">
        <v>14428.43</v>
      </c>
      <c r="G47" s="25">
        <v>2</v>
      </c>
      <c r="H47" s="70"/>
      <c r="I47" s="24">
        <f>2809.75+900+900+900+900+900</f>
        <v>7309.75</v>
      </c>
      <c r="J47" s="17"/>
    </row>
    <row r="48" spans="1:10" s="3" customFormat="1" ht="33.75" customHeight="1">
      <c r="A48" s="65"/>
      <c r="B48" s="66"/>
      <c r="C48" s="66"/>
      <c r="D48" s="68"/>
      <c r="E48" s="68"/>
      <c r="F48" s="23">
        <v>18857.28</v>
      </c>
      <c r="G48" s="25">
        <v>5</v>
      </c>
      <c r="H48" s="71"/>
      <c r="I48" s="24">
        <f>2357.28+1500+1500+1500+1500+1500+1500+1500+1500+1500+1500</f>
        <v>17357.28</v>
      </c>
      <c r="J48" s="17"/>
    </row>
    <row r="49" spans="1:10" s="3" customFormat="1" ht="69" customHeight="1">
      <c r="A49" s="20" t="s">
        <v>14</v>
      </c>
      <c r="B49" s="21" t="s">
        <v>11</v>
      </c>
      <c r="C49" s="21" t="s">
        <v>12</v>
      </c>
      <c r="D49" s="22">
        <v>43101</v>
      </c>
      <c r="E49" s="42">
        <v>43465</v>
      </c>
      <c r="F49" s="23">
        <v>234000</v>
      </c>
      <c r="G49" s="25">
        <v>1</v>
      </c>
      <c r="H49" s="59" t="s">
        <v>13</v>
      </c>
      <c r="I49" s="24">
        <f>18000+18000+18000+18000+18000+18000+18000+18000+18000+18000</f>
        <v>180000</v>
      </c>
      <c r="J49" s="17"/>
    </row>
    <row r="50" spans="1:10" s="3" customFormat="1" ht="66.75" customHeight="1">
      <c r="A50" s="20" t="s">
        <v>182</v>
      </c>
      <c r="B50" s="21" t="s">
        <v>179</v>
      </c>
      <c r="C50" s="21" t="s">
        <v>180</v>
      </c>
      <c r="D50" s="22">
        <v>43101</v>
      </c>
      <c r="E50" s="42">
        <v>43465</v>
      </c>
      <c r="F50" s="23">
        <v>116772</v>
      </c>
      <c r="G50" s="25">
        <v>2</v>
      </c>
      <c r="H50" s="59" t="s">
        <v>181</v>
      </c>
      <c r="I50" s="24">
        <f>9731+9731+9731+9731+9731+9731+9731+9731+9731+9731</f>
        <v>97310</v>
      </c>
      <c r="J50" s="17"/>
    </row>
    <row r="51" spans="1:10" s="3" customFormat="1" ht="73.5" customHeight="1">
      <c r="A51" s="20" t="s">
        <v>186</v>
      </c>
      <c r="B51" s="21" t="s">
        <v>183</v>
      </c>
      <c r="C51" s="21" t="s">
        <v>184</v>
      </c>
      <c r="D51" s="22">
        <v>43101</v>
      </c>
      <c r="E51" s="42">
        <v>43465</v>
      </c>
      <c r="F51" s="23">
        <v>94680</v>
      </c>
      <c r="G51" s="25">
        <v>2</v>
      </c>
      <c r="H51" s="59" t="s">
        <v>185</v>
      </c>
      <c r="I51" s="24">
        <f>7890+7890+7890+7890+7890+7890+7890+7890+7890+7890</f>
        <v>78900</v>
      </c>
      <c r="J51" s="17"/>
    </row>
    <row r="52" spans="1:10" s="3" customFormat="1" ht="66" customHeight="1">
      <c r="A52" s="20" t="s">
        <v>190</v>
      </c>
      <c r="B52" s="21" t="s">
        <v>187</v>
      </c>
      <c r="C52" s="21" t="s">
        <v>188</v>
      </c>
      <c r="D52" s="22">
        <v>43101</v>
      </c>
      <c r="E52" s="42">
        <v>43465</v>
      </c>
      <c r="F52" s="23">
        <v>78900</v>
      </c>
      <c r="G52" s="25">
        <v>2</v>
      </c>
      <c r="H52" s="59" t="s">
        <v>189</v>
      </c>
      <c r="I52" s="24">
        <f>6575+6575+6575+6575+6575+6575+6575+6575+6575+6575</f>
        <v>65750</v>
      </c>
      <c r="J52" s="17"/>
    </row>
    <row r="53" spans="1:10" s="3" customFormat="1" ht="66" customHeight="1">
      <c r="A53" s="20" t="s">
        <v>194</v>
      </c>
      <c r="B53" s="21" t="s">
        <v>191</v>
      </c>
      <c r="C53" s="21" t="s">
        <v>192</v>
      </c>
      <c r="D53" s="22">
        <v>43101</v>
      </c>
      <c r="E53" s="42">
        <v>43465</v>
      </c>
      <c r="F53" s="23">
        <v>142020</v>
      </c>
      <c r="G53" s="25">
        <v>2</v>
      </c>
      <c r="H53" s="59" t="s">
        <v>193</v>
      </c>
      <c r="I53" s="24">
        <f>11835+11835+11835+11835+11835+11835+11835+11835+11835+11835</f>
        <v>118350</v>
      </c>
      <c r="J53" s="17"/>
    </row>
    <row r="54" spans="1:10" s="3" customFormat="1" ht="66" customHeight="1">
      <c r="A54" s="20" t="s">
        <v>0</v>
      </c>
      <c r="B54" s="21" t="s">
        <v>195</v>
      </c>
      <c r="C54" s="21" t="s">
        <v>196</v>
      </c>
      <c r="D54" s="22">
        <v>43101</v>
      </c>
      <c r="E54" s="42">
        <v>43465</v>
      </c>
      <c r="F54" s="23">
        <v>672228</v>
      </c>
      <c r="G54" s="25">
        <v>2</v>
      </c>
      <c r="H54" s="59" t="s">
        <v>197</v>
      </c>
      <c r="I54" s="24">
        <f>56019+56019+56019+56019+56019+56019+56019+56019+56019+56019</f>
        <v>560190</v>
      </c>
      <c r="J54" s="17"/>
    </row>
    <row r="55" spans="1:10" s="3" customFormat="1" ht="66" customHeight="1">
      <c r="A55" s="20" t="s">
        <v>4</v>
      </c>
      <c r="B55" s="21" t="s">
        <v>1</v>
      </c>
      <c r="C55" s="21" t="s">
        <v>2</v>
      </c>
      <c r="D55" s="22">
        <v>43101</v>
      </c>
      <c r="E55" s="42">
        <v>43465</v>
      </c>
      <c r="F55" s="23">
        <v>110460</v>
      </c>
      <c r="G55" s="25">
        <v>2</v>
      </c>
      <c r="H55" s="59" t="s">
        <v>3</v>
      </c>
      <c r="I55" s="24">
        <f>9205+9205+9205+9205+9205+9205+9205+9205+9205+9205</f>
        <v>92050</v>
      </c>
      <c r="J55" s="17"/>
    </row>
    <row r="56" spans="1:10" s="3" customFormat="1" ht="66" customHeight="1">
      <c r="A56" s="20" t="s">
        <v>8</v>
      </c>
      <c r="B56" s="21" t="s">
        <v>5</v>
      </c>
      <c r="C56" s="21" t="s">
        <v>6</v>
      </c>
      <c r="D56" s="22">
        <v>43101</v>
      </c>
      <c r="E56" s="42">
        <v>43465</v>
      </c>
      <c r="F56" s="23">
        <v>157800</v>
      </c>
      <c r="G56" s="25">
        <v>2</v>
      </c>
      <c r="H56" s="59" t="s">
        <v>7</v>
      </c>
      <c r="I56" s="24">
        <f>13150+13150+13150+13150+13150+13150+13150+13150+13150+13150</f>
        <v>131500</v>
      </c>
      <c r="J56" s="17"/>
    </row>
    <row r="57" spans="1:10" s="3" customFormat="1" ht="70.5" customHeight="1">
      <c r="A57" s="20" t="s">
        <v>10</v>
      </c>
      <c r="B57" s="21" t="s">
        <v>5</v>
      </c>
      <c r="C57" s="21" t="s">
        <v>6</v>
      </c>
      <c r="D57" s="22">
        <v>43101</v>
      </c>
      <c r="E57" s="42">
        <v>43465</v>
      </c>
      <c r="F57" s="23">
        <v>338820</v>
      </c>
      <c r="G57" s="25">
        <v>2</v>
      </c>
      <c r="H57" s="59" t="s">
        <v>9</v>
      </c>
      <c r="I57" s="24">
        <f>28235+28235+28235+28235+28235+28235+28235+28235+28235+28235</f>
        <v>282350</v>
      </c>
      <c r="J57" s="17"/>
    </row>
    <row r="58" spans="1:10" s="3" customFormat="1" ht="47.25" customHeight="1">
      <c r="A58" s="65" t="s">
        <v>26</v>
      </c>
      <c r="B58" s="72" t="s">
        <v>62</v>
      </c>
      <c r="C58" s="72" t="s">
        <v>63</v>
      </c>
      <c r="D58" s="67">
        <v>43101</v>
      </c>
      <c r="E58" s="67">
        <v>43465</v>
      </c>
      <c r="F58" s="23">
        <v>53114.29</v>
      </c>
      <c r="G58" s="25">
        <v>1</v>
      </c>
      <c r="H58" s="69" t="s">
        <v>25</v>
      </c>
      <c r="I58" s="24">
        <f>4500+4500+4500+4500+4500+4500+4500+4500+4500+4500</f>
        <v>45000</v>
      </c>
      <c r="J58" s="17"/>
    </row>
    <row r="59" spans="1:10" s="3" customFormat="1" ht="36" customHeight="1">
      <c r="A59" s="65"/>
      <c r="B59" s="73"/>
      <c r="C59" s="73"/>
      <c r="D59" s="89"/>
      <c r="E59" s="89"/>
      <c r="F59" s="23">
        <v>14428.57</v>
      </c>
      <c r="G59" s="25">
        <v>2</v>
      </c>
      <c r="H59" s="70"/>
      <c r="I59" s="24">
        <f>2809.89+900+900+900+900+900</f>
        <v>7309.889999999999</v>
      </c>
      <c r="J59" s="17"/>
    </row>
    <row r="60" spans="1:10" s="3" customFormat="1" ht="52.5" customHeight="1">
      <c r="A60" s="65"/>
      <c r="B60" s="74"/>
      <c r="C60" s="74"/>
      <c r="D60" s="68"/>
      <c r="E60" s="68"/>
      <c r="F60" s="23">
        <v>18857.14</v>
      </c>
      <c r="G60" s="25">
        <v>5</v>
      </c>
      <c r="H60" s="71"/>
      <c r="I60" s="91">
        <f>2357.14+1500+1500+1500+1500+1500+1500+1500+1500+1500+1500</f>
        <v>17357.14</v>
      </c>
      <c r="J60" s="17"/>
    </row>
    <row r="61" spans="1:10" s="3" customFormat="1" ht="70.5" customHeight="1">
      <c r="A61" s="65" t="s">
        <v>177</v>
      </c>
      <c r="B61" s="72" t="s">
        <v>62</v>
      </c>
      <c r="C61" s="72" t="s">
        <v>63</v>
      </c>
      <c r="D61" s="67">
        <v>43101</v>
      </c>
      <c r="E61" s="67">
        <v>43465</v>
      </c>
      <c r="F61" s="23">
        <v>53114.29</v>
      </c>
      <c r="G61" s="25">
        <v>1</v>
      </c>
      <c r="H61" s="69" t="s">
        <v>83</v>
      </c>
      <c r="I61" s="24">
        <f>4500+4500+4500+4500+4500+4500+4500+4500+4500+4500</f>
        <v>45000</v>
      </c>
      <c r="J61" s="17"/>
    </row>
    <row r="62" spans="1:10" s="3" customFormat="1" ht="36" customHeight="1">
      <c r="A62" s="65"/>
      <c r="B62" s="73"/>
      <c r="C62" s="73"/>
      <c r="D62" s="89"/>
      <c r="E62" s="89"/>
      <c r="F62" s="23">
        <v>14428.57</v>
      </c>
      <c r="G62" s="25">
        <v>2</v>
      </c>
      <c r="H62" s="70"/>
      <c r="I62" s="24">
        <f>2809.89+900+900+900+900+900</f>
        <v>7309.889999999999</v>
      </c>
      <c r="J62" s="17"/>
    </row>
    <row r="63" spans="1:10" s="3" customFormat="1" ht="36" customHeight="1">
      <c r="A63" s="65"/>
      <c r="B63" s="74"/>
      <c r="C63" s="74"/>
      <c r="D63" s="68"/>
      <c r="E63" s="68"/>
      <c r="F63" s="23">
        <v>18857.14</v>
      </c>
      <c r="G63" s="25">
        <v>5</v>
      </c>
      <c r="H63" s="71"/>
      <c r="I63" s="24">
        <f>2357.14+1500+1500+1500+1500+1500+1500+1500+1500+1500+1500</f>
        <v>17357.14</v>
      </c>
      <c r="J63" s="17"/>
    </row>
    <row r="64" spans="1:10" s="3" customFormat="1" ht="63.75" customHeight="1">
      <c r="A64" s="20" t="s">
        <v>29</v>
      </c>
      <c r="B64" s="52" t="s">
        <v>84</v>
      </c>
      <c r="C64" s="52" t="s">
        <v>86</v>
      </c>
      <c r="D64" s="22">
        <v>43101</v>
      </c>
      <c r="E64" s="22">
        <v>43465</v>
      </c>
      <c r="F64" s="23">
        <v>668256</v>
      </c>
      <c r="G64" s="25">
        <v>2</v>
      </c>
      <c r="H64" s="43" t="s">
        <v>85</v>
      </c>
      <c r="I64" s="24">
        <f>55688+55688+55688+55688+55688+55688+55688+55688+55688+55688</f>
        <v>556880</v>
      </c>
      <c r="J64" s="17"/>
    </row>
    <row r="65" spans="1:10" s="3" customFormat="1" ht="63.75" customHeight="1">
      <c r="A65" s="20" t="s">
        <v>31</v>
      </c>
      <c r="B65" s="21" t="s">
        <v>64</v>
      </c>
      <c r="C65" s="21" t="s">
        <v>65</v>
      </c>
      <c r="D65" s="22">
        <v>43101</v>
      </c>
      <c r="E65" s="22">
        <v>43465</v>
      </c>
      <c r="F65" s="23">
        <v>282624</v>
      </c>
      <c r="G65" s="25">
        <v>2</v>
      </c>
      <c r="H65" s="43" t="s">
        <v>87</v>
      </c>
      <c r="I65" s="24">
        <f>23552+23552+23552+23552+23552+23552+23552+23552+23552+23552</f>
        <v>235520</v>
      </c>
      <c r="J65" s="17"/>
    </row>
    <row r="66" spans="1:10" s="3" customFormat="1" ht="70.5" customHeight="1">
      <c r="A66" s="20" t="s">
        <v>30</v>
      </c>
      <c r="B66" s="21" t="s">
        <v>68</v>
      </c>
      <c r="C66" s="21" t="s">
        <v>76</v>
      </c>
      <c r="D66" s="22">
        <v>43101</v>
      </c>
      <c r="E66" s="22">
        <v>43465</v>
      </c>
      <c r="F66" s="23">
        <v>94680</v>
      </c>
      <c r="G66" s="25">
        <v>2</v>
      </c>
      <c r="H66" s="43" t="s">
        <v>88</v>
      </c>
      <c r="I66" s="24">
        <f>7890+7890+7890+7890+7890+7890+7890+7890+7890+7890</f>
        <v>78900</v>
      </c>
      <c r="J66" s="17"/>
    </row>
    <row r="67" spans="1:10" s="3" customFormat="1" ht="66" customHeight="1">
      <c r="A67" s="20" t="s">
        <v>32</v>
      </c>
      <c r="B67" s="21" t="s">
        <v>64</v>
      </c>
      <c r="C67" s="21" t="s">
        <v>65</v>
      </c>
      <c r="D67" s="22">
        <v>43101</v>
      </c>
      <c r="E67" s="22">
        <v>43465</v>
      </c>
      <c r="F67" s="23">
        <v>182360</v>
      </c>
      <c r="G67" s="25">
        <v>2</v>
      </c>
      <c r="H67" s="43" t="s">
        <v>89</v>
      </c>
      <c r="I67" s="24">
        <f>15780+15780+15780+15780+15780+15780+15780+15780+15780+15780</f>
        <v>157800</v>
      </c>
      <c r="J67" s="17"/>
    </row>
    <row r="68" spans="1:10" s="3" customFormat="1" ht="36" customHeight="1">
      <c r="A68" s="65" t="s">
        <v>33</v>
      </c>
      <c r="B68" s="72" t="s">
        <v>72</v>
      </c>
      <c r="C68" s="72" t="s">
        <v>80</v>
      </c>
      <c r="D68" s="67">
        <v>43101</v>
      </c>
      <c r="E68" s="67">
        <v>43465</v>
      </c>
      <c r="F68" s="23">
        <v>53114.3</v>
      </c>
      <c r="G68" s="25">
        <v>1</v>
      </c>
      <c r="H68" s="69" t="s">
        <v>90</v>
      </c>
      <c r="I68" s="24">
        <f>4500+4500+4500+4500+4500+4500+4500+4500+4500+4500</f>
        <v>45000</v>
      </c>
      <c r="J68" s="17"/>
    </row>
    <row r="69" spans="1:10" s="3" customFormat="1" ht="36" customHeight="1">
      <c r="A69" s="65"/>
      <c r="B69" s="73"/>
      <c r="C69" s="73"/>
      <c r="D69" s="89"/>
      <c r="E69" s="89"/>
      <c r="F69" s="23">
        <v>14428.71</v>
      </c>
      <c r="G69" s="25">
        <v>2</v>
      </c>
      <c r="H69" s="70"/>
      <c r="I69" s="24">
        <f>2809.89+900+900+900+900+900</f>
        <v>7309.889999999999</v>
      </c>
      <c r="J69" s="17"/>
    </row>
    <row r="70" spans="1:10" s="3" customFormat="1" ht="36" customHeight="1">
      <c r="A70" s="65"/>
      <c r="B70" s="74"/>
      <c r="C70" s="74"/>
      <c r="D70" s="68"/>
      <c r="E70" s="68"/>
      <c r="F70" s="23">
        <v>18856.99</v>
      </c>
      <c r="G70" s="25">
        <v>5</v>
      </c>
      <c r="H70" s="71"/>
      <c r="I70" s="24">
        <f>2356.99+1500+1500+1500+1500+1500+1500+1500+1500+1500+1500</f>
        <v>17356.989999999998</v>
      </c>
      <c r="J70" s="17"/>
    </row>
    <row r="71" spans="1:10" s="3" customFormat="1" ht="26.25" customHeight="1">
      <c r="A71" s="65" t="s">
        <v>34</v>
      </c>
      <c r="B71" s="72" t="s">
        <v>72</v>
      </c>
      <c r="C71" s="72" t="s">
        <v>94</v>
      </c>
      <c r="D71" s="67">
        <v>43101</v>
      </c>
      <c r="E71" s="67">
        <v>43465</v>
      </c>
      <c r="F71" s="23">
        <v>53114.29</v>
      </c>
      <c r="G71" s="25">
        <v>1</v>
      </c>
      <c r="H71" s="69" t="s">
        <v>91</v>
      </c>
      <c r="I71" s="24">
        <f>4500+4500+4500+4500+4500+4500+4500+4500+4500+4500</f>
        <v>45000</v>
      </c>
      <c r="J71" s="17"/>
    </row>
    <row r="72" spans="1:10" s="3" customFormat="1" ht="26.25" customHeight="1">
      <c r="A72" s="65"/>
      <c r="B72" s="73"/>
      <c r="C72" s="73"/>
      <c r="D72" s="89"/>
      <c r="E72" s="89"/>
      <c r="F72" s="23">
        <v>14428.57</v>
      </c>
      <c r="G72" s="25">
        <v>2</v>
      </c>
      <c r="H72" s="70"/>
      <c r="I72" s="24">
        <f>2809.89+900+900+900+900+900</f>
        <v>7309.889999999999</v>
      </c>
      <c r="J72" s="17"/>
    </row>
    <row r="73" spans="1:10" s="3" customFormat="1" ht="43.5" customHeight="1">
      <c r="A73" s="65"/>
      <c r="B73" s="74"/>
      <c r="C73" s="74"/>
      <c r="D73" s="68"/>
      <c r="E73" s="68"/>
      <c r="F73" s="23">
        <v>18857.14</v>
      </c>
      <c r="G73" s="25">
        <v>5</v>
      </c>
      <c r="H73" s="71"/>
      <c r="I73" s="24">
        <f>2357.14+1500+1500+1500+1500+1500+1500+1500+1500+1500+1500</f>
        <v>17357.14</v>
      </c>
      <c r="J73" s="17"/>
    </row>
    <row r="74" spans="1:10" s="3" customFormat="1" ht="107.25" customHeight="1">
      <c r="A74" s="20" t="s">
        <v>35</v>
      </c>
      <c r="B74" s="21" t="s">
        <v>66</v>
      </c>
      <c r="C74" s="21" t="s">
        <v>75</v>
      </c>
      <c r="D74" s="22">
        <v>43101</v>
      </c>
      <c r="E74" s="22">
        <v>43465</v>
      </c>
      <c r="F74" s="23">
        <v>34020</v>
      </c>
      <c r="G74" s="25">
        <v>5</v>
      </c>
      <c r="H74" s="43" t="s">
        <v>92</v>
      </c>
      <c r="I74" s="24">
        <f>2700+2700+2700+2700+2700+2700+2700+2700+2700+2700+3510</f>
        <v>30510</v>
      </c>
      <c r="J74" s="17"/>
    </row>
    <row r="75" spans="1:10" s="3" customFormat="1" ht="189.75" customHeight="1">
      <c r="A75" s="20" t="s">
        <v>36</v>
      </c>
      <c r="B75" s="21" t="s">
        <v>95</v>
      </c>
      <c r="C75" s="21" t="s">
        <v>96</v>
      </c>
      <c r="D75" s="22">
        <v>43132</v>
      </c>
      <c r="E75" s="22">
        <v>43281</v>
      </c>
      <c r="F75" s="23">
        <v>110188.6</v>
      </c>
      <c r="G75" s="25">
        <v>1</v>
      </c>
      <c r="H75" s="43" t="s">
        <v>93</v>
      </c>
      <c r="I75" s="24">
        <f>16588.6+16400+16400+16400+16400+28000</f>
        <v>110188.6</v>
      </c>
      <c r="J75" s="17"/>
    </row>
    <row r="76" spans="1:10" s="3" customFormat="1" ht="39.75" customHeight="1">
      <c r="A76" s="65" t="s">
        <v>37</v>
      </c>
      <c r="B76" s="66" t="s">
        <v>69</v>
      </c>
      <c r="C76" s="72" t="s">
        <v>97</v>
      </c>
      <c r="D76" s="67">
        <v>43101</v>
      </c>
      <c r="E76" s="67">
        <v>43465</v>
      </c>
      <c r="F76" s="23">
        <v>459140</v>
      </c>
      <c r="G76" s="25">
        <v>1</v>
      </c>
      <c r="H76" s="69" t="s">
        <v>51</v>
      </c>
      <c r="I76" s="24">
        <f>35000+35000+35000+35000+35000+35000+35000+35000+35000+35000</f>
        <v>350000</v>
      </c>
      <c r="J76" s="17"/>
    </row>
    <row r="77" spans="1:10" s="3" customFormat="1" ht="39.75" customHeight="1">
      <c r="A77" s="65"/>
      <c r="B77" s="66"/>
      <c r="C77" s="74"/>
      <c r="D77" s="68"/>
      <c r="E77" s="68"/>
      <c r="F77" s="23">
        <v>60000</v>
      </c>
      <c r="G77" s="25">
        <v>5</v>
      </c>
      <c r="H77" s="71"/>
      <c r="I77" s="60">
        <f>5000+5000+5000+5000+5000+5000+5000+5000+5000+5000</f>
        <v>50000</v>
      </c>
      <c r="J77" s="17"/>
    </row>
    <row r="78" spans="1:10" s="3" customFormat="1" ht="84" customHeight="1">
      <c r="A78" s="20" t="s">
        <v>210</v>
      </c>
      <c r="B78" s="21" t="s">
        <v>71</v>
      </c>
      <c r="C78" s="21" t="s">
        <v>79</v>
      </c>
      <c r="D78" s="22">
        <v>43101</v>
      </c>
      <c r="E78" s="22">
        <v>43465</v>
      </c>
      <c r="F78" s="23">
        <f>370824+18410</f>
        <v>389234</v>
      </c>
      <c r="G78" s="25">
        <v>2</v>
      </c>
      <c r="H78" s="43" t="s">
        <v>52</v>
      </c>
      <c r="I78" s="24">
        <f>30902+30902+30902+30902+30902+30902+2630+30902+2630+30902+2630+30902+2630+30902+2630</f>
        <v>322170</v>
      </c>
      <c r="J78" s="17"/>
    </row>
    <row r="79" spans="1:10" s="3" customFormat="1" ht="39.75" customHeight="1">
      <c r="A79" s="65" t="s">
        <v>38</v>
      </c>
      <c r="B79" s="66" t="s">
        <v>73</v>
      </c>
      <c r="C79" s="66" t="s">
        <v>81</v>
      </c>
      <c r="D79" s="67">
        <v>42748</v>
      </c>
      <c r="E79" s="67">
        <v>43100</v>
      </c>
      <c r="F79" s="23">
        <v>194000</v>
      </c>
      <c r="G79" s="25">
        <v>1</v>
      </c>
      <c r="H79" s="69" t="s">
        <v>53</v>
      </c>
      <c r="I79" s="24">
        <f>15000+15000+15000+15000+15000+15000+15000+15000+15000+15000</f>
        <v>150000</v>
      </c>
      <c r="J79" s="17"/>
    </row>
    <row r="80" spans="1:10" s="3" customFormat="1" ht="39.75" customHeight="1">
      <c r="A80" s="65"/>
      <c r="B80" s="66"/>
      <c r="C80" s="66"/>
      <c r="D80" s="68"/>
      <c r="E80" s="68"/>
      <c r="F80" s="23">
        <v>108000</v>
      </c>
      <c r="G80" s="25">
        <v>5</v>
      </c>
      <c r="H80" s="70"/>
      <c r="I80" s="24">
        <f>8800+8800+8800+8800+10000+7600+8800+8800+8800+8800+10000</f>
        <v>98000</v>
      </c>
      <c r="J80" s="17"/>
    </row>
    <row r="81" spans="1:10" s="3" customFormat="1" ht="84.75" customHeight="1">
      <c r="A81" s="20" t="s">
        <v>39</v>
      </c>
      <c r="B81" s="21" t="s">
        <v>72</v>
      </c>
      <c r="C81" s="21" t="s">
        <v>98</v>
      </c>
      <c r="D81" s="22">
        <v>43101</v>
      </c>
      <c r="E81" s="22" t="s">
        <v>231</v>
      </c>
      <c r="F81" s="23">
        <v>80000</v>
      </c>
      <c r="G81" s="25">
        <v>1</v>
      </c>
      <c r="H81" s="43" t="s">
        <v>99</v>
      </c>
      <c r="I81" s="24">
        <f>8000+8000+8000+8000+8000+8000+8000+8000+8000+8000</f>
        <v>80000</v>
      </c>
      <c r="J81" s="17"/>
    </row>
    <row r="82" spans="1:10" s="3" customFormat="1" ht="79.5" customHeight="1">
      <c r="A82" s="20" t="s">
        <v>40</v>
      </c>
      <c r="B82" s="21" t="s">
        <v>72</v>
      </c>
      <c r="C82" s="21" t="s">
        <v>98</v>
      </c>
      <c r="D82" s="22">
        <v>43101</v>
      </c>
      <c r="E82" s="22">
        <v>43465</v>
      </c>
      <c r="F82" s="23">
        <v>120000</v>
      </c>
      <c r="G82" s="25">
        <v>1</v>
      </c>
      <c r="H82" s="43" t="s">
        <v>100</v>
      </c>
      <c r="I82" s="24">
        <f>12000+12000+12000+12000+12000+12000+12000+12000+12000+12000</f>
        <v>120000</v>
      </c>
      <c r="J82" s="17"/>
    </row>
    <row r="83" spans="1:10" s="3" customFormat="1" ht="79.5" customHeight="1">
      <c r="A83" s="20" t="s">
        <v>41</v>
      </c>
      <c r="B83" s="21" t="s">
        <v>72</v>
      </c>
      <c r="C83" s="21" t="s">
        <v>98</v>
      </c>
      <c r="D83" s="22">
        <v>43101</v>
      </c>
      <c r="E83" s="22">
        <v>43465</v>
      </c>
      <c r="F83" s="23">
        <v>430000</v>
      </c>
      <c r="G83" s="25">
        <v>1</v>
      </c>
      <c r="H83" s="43" t="s">
        <v>101</v>
      </c>
      <c r="I83" s="24">
        <f>43000+43000+43000+43000+43000+43000+43000+43000+43000+43000</f>
        <v>430000</v>
      </c>
      <c r="J83" s="17"/>
    </row>
    <row r="84" spans="1:10" s="3" customFormat="1" ht="106.5" customHeight="1">
      <c r="A84" s="27" t="s">
        <v>42</v>
      </c>
      <c r="B84" s="27" t="s">
        <v>102</v>
      </c>
      <c r="C84" s="28" t="s">
        <v>103</v>
      </c>
      <c r="D84" s="29">
        <v>43101</v>
      </c>
      <c r="E84" s="29">
        <v>43465</v>
      </c>
      <c r="F84" s="30">
        <v>300000</v>
      </c>
      <c r="G84" s="31">
        <v>1</v>
      </c>
      <c r="H84" s="32" t="s">
        <v>104</v>
      </c>
      <c r="I84" s="33">
        <f>80000+20000+20000+20000+20000+20000+20000+20000+20000+20000</f>
        <v>260000</v>
      </c>
      <c r="J84" s="17"/>
    </row>
    <row r="85" spans="1:10" s="3" customFormat="1" ht="79.5" customHeight="1">
      <c r="A85" s="27" t="s">
        <v>43</v>
      </c>
      <c r="B85" s="27" t="s">
        <v>105</v>
      </c>
      <c r="C85" s="28" t="s">
        <v>106</v>
      </c>
      <c r="D85" s="29">
        <v>43101</v>
      </c>
      <c r="E85" s="29">
        <v>43465</v>
      </c>
      <c r="F85" s="30">
        <v>120000</v>
      </c>
      <c r="G85" s="31">
        <v>1</v>
      </c>
      <c r="H85" s="32" t="s">
        <v>107</v>
      </c>
      <c r="I85" s="33">
        <f>32000+8000+8000+8000+8000+8000+8000+8000+8000+8000</f>
        <v>104000</v>
      </c>
      <c r="J85" s="17"/>
    </row>
    <row r="86" spans="1:10" s="3" customFormat="1" ht="79.5" customHeight="1">
      <c r="A86" s="27" t="s">
        <v>44</v>
      </c>
      <c r="B86" s="27" t="s">
        <v>108</v>
      </c>
      <c r="C86" s="28" t="s">
        <v>109</v>
      </c>
      <c r="D86" s="29">
        <v>43101</v>
      </c>
      <c r="E86" s="29">
        <v>43465</v>
      </c>
      <c r="F86" s="30">
        <v>185000</v>
      </c>
      <c r="G86" s="31">
        <v>1</v>
      </c>
      <c r="H86" s="32" t="s">
        <v>110</v>
      </c>
      <c r="I86" s="33">
        <f>75000+10000+10000+10000+10000+10000+10000+10000+10000+10000</f>
        <v>165000</v>
      </c>
      <c r="J86" s="17"/>
    </row>
    <row r="87" spans="1:10" s="3" customFormat="1" ht="79.5" customHeight="1">
      <c r="A87" s="27" t="s">
        <v>45</v>
      </c>
      <c r="B87" s="27" t="s">
        <v>111</v>
      </c>
      <c r="C87" s="28" t="s">
        <v>112</v>
      </c>
      <c r="D87" s="29">
        <v>43101</v>
      </c>
      <c r="E87" s="29">
        <v>43465</v>
      </c>
      <c r="F87" s="30">
        <v>140000</v>
      </c>
      <c r="G87" s="31">
        <v>1</v>
      </c>
      <c r="H87" s="32" t="s">
        <v>113</v>
      </c>
      <c r="I87" s="33">
        <f>50000+10000+10000+10000+10000+10000+10000+10000+10000+10000</f>
        <v>140000</v>
      </c>
      <c r="J87" s="17"/>
    </row>
    <row r="88" spans="1:10" s="3" customFormat="1" ht="79.5" customHeight="1">
      <c r="A88" s="34" t="s">
        <v>178</v>
      </c>
      <c r="B88" s="61" t="s">
        <v>114</v>
      </c>
      <c r="C88" s="62" t="s">
        <v>115</v>
      </c>
      <c r="D88" s="51">
        <v>43101</v>
      </c>
      <c r="E88" s="29">
        <v>43465</v>
      </c>
      <c r="F88" s="30">
        <v>960000</v>
      </c>
      <c r="G88" s="31">
        <v>1</v>
      </c>
      <c r="H88" s="63" t="s">
        <v>116</v>
      </c>
      <c r="I88" s="33">
        <f>80000+80000+80000+80000+80000+80000+80000+80000+80000+80000+75000</f>
        <v>875000</v>
      </c>
      <c r="J88" s="17"/>
    </row>
    <row r="89" spans="1:10" s="3" customFormat="1" ht="139.5" customHeight="1">
      <c r="A89" s="27" t="s">
        <v>46</v>
      </c>
      <c r="B89" s="27" t="s">
        <v>105</v>
      </c>
      <c r="C89" s="28" t="s">
        <v>106</v>
      </c>
      <c r="D89" s="51">
        <v>43101</v>
      </c>
      <c r="E89" s="29">
        <v>43465</v>
      </c>
      <c r="F89" s="30">
        <v>120000</v>
      </c>
      <c r="G89" s="31">
        <v>1</v>
      </c>
      <c r="H89" s="32" t="s">
        <v>117</v>
      </c>
      <c r="I89" s="33">
        <f>32000+8000+8000+8000+8000+8000+8000+8000+8000+8000</f>
        <v>104000</v>
      </c>
      <c r="J89" s="17"/>
    </row>
    <row r="90" spans="1:10" s="3" customFormat="1" ht="87" customHeight="1">
      <c r="A90" s="27" t="s">
        <v>47</v>
      </c>
      <c r="B90" s="27" t="s">
        <v>118</v>
      </c>
      <c r="C90" s="28" t="s">
        <v>119</v>
      </c>
      <c r="D90" s="29">
        <v>43249</v>
      </c>
      <c r="E90" s="29">
        <v>43465</v>
      </c>
      <c r="F90" s="30">
        <f>66680+133320</f>
        <v>200000</v>
      </c>
      <c r="G90" s="31">
        <v>1</v>
      </c>
      <c r="H90" s="32" t="s">
        <v>120</v>
      </c>
      <c r="I90" s="33">
        <f>33330+33350+33330+33330+33330</f>
        <v>166670</v>
      </c>
      <c r="J90" s="17"/>
    </row>
    <row r="91" spans="1:10" s="3" customFormat="1" ht="88.5" customHeight="1">
      <c r="A91" s="27" t="s">
        <v>48</v>
      </c>
      <c r="B91" s="27" t="s">
        <v>121</v>
      </c>
      <c r="C91" s="28" t="s">
        <v>122</v>
      </c>
      <c r="D91" s="29">
        <v>43101</v>
      </c>
      <c r="E91" s="29">
        <v>43465</v>
      </c>
      <c r="F91" s="30">
        <v>180000</v>
      </c>
      <c r="G91" s="31">
        <v>1</v>
      </c>
      <c r="H91" s="32" t="s">
        <v>123</v>
      </c>
      <c r="I91" s="33">
        <f>15000+15000+15000+15000+15000+15000+15000+15000+15000+15000</f>
        <v>150000</v>
      </c>
      <c r="J91" s="17"/>
    </row>
    <row r="92" spans="1:10" s="3" customFormat="1" ht="93" customHeight="1">
      <c r="A92" s="27" t="s">
        <v>49</v>
      </c>
      <c r="B92" s="34" t="s">
        <v>124</v>
      </c>
      <c r="C92" s="44" t="s">
        <v>125</v>
      </c>
      <c r="D92" s="29">
        <v>42979</v>
      </c>
      <c r="E92" s="29">
        <v>43343</v>
      </c>
      <c r="F92" s="30">
        <v>73600</v>
      </c>
      <c r="G92" s="31">
        <v>2</v>
      </c>
      <c r="H92" s="32" t="s">
        <v>126</v>
      </c>
      <c r="I92" s="33">
        <f>9200+9200+9200+9200+9200+9200+9200+9200+9570+9570</f>
        <v>92740</v>
      </c>
      <c r="J92" s="17"/>
    </row>
    <row r="93" spans="1:10" s="3" customFormat="1" ht="103.5" customHeight="1">
      <c r="A93" s="27" t="s">
        <v>50</v>
      </c>
      <c r="B93" s="34" t="s">
        <v>70</v>
      </c>
      <c r="C93" s="35" t="s">
        <v>78</v>
      </c>
      <c r="D93" s="29">
        <v>43101</v>
      </c>
      <c r="E93" s="29">
        <v>43281</v>
      </c>
      <c r="F93" s="30">
        <v>100000</v>
      </c>
      <c r="G93" s="31">
        <v>1</v>
      </c>
      <c r="H93" s="32" t="s">
        <v>127</v>
      </c>
      <c r="I93" s="33">
        <f>25000+25000+25000+25000</f>
        <v>100000</v>
      </c>
      <c r="J93" s="17"/>
    </row>
    <row r="94" spans="1:10" s="3" customFormat="1" ht="30" customHeight="1" thickBot="1">
      <c r="A94" s="9"/>
      <c r="B94" s="10"/>
      <c r="C94" s="15"/>
      <c r="D94" s="11"/>
      <c r="E94" s="12"/>
      <c r="F94" s="14"/>
      <c r="G94" s="13"/>
      <c r="H94" s="16"/>
      <c r="I94" s="14">
        <f>SUM(I5:I93)</f>
        <v>13683789.640000002</v>
      </c>
      <c r="J94" s="17"/>
    </row>
    <row r="95" spans="1:10" ht="36.75" customHeight="1" thickTop="1">
      <c r="A95" s="64" t="s">
        <v>232</v>
      </c>
      <c r="B95" s="64"/>
      <c r="C95" s="64"/>
      <c r="D95" s="64"/>
      <c r="E95" s="64"/>
      <c r="F95" s="64"/>
      <c r="G95" s="64"/>
      <c r="H95" s="64"/>
      <c r="I95" s="64"/>
      <c r="J95" s="17"/>
    </row>
    <row r="96" spans="8:10" ht="36.75" customHeight="1">
      <c r="H96" s="18"/>
      <c r="J96" s="17"/>
    </row>
    <row r="97" ht="36.75" customHeight="1">
      <c r="J97" s="17"/>
    </row>
    <row r="98" ht="36.75" customHeight="1">
      <c r="J98" s="17"/>
    </row>
    <row r="99" spans="7:10" ht="36.75" customHeight="1">
      <c r="G99" s="19"/>
      <c r="J99" s="17"/>
    </row>
    <row r="100" spans="7:10" ht="36.75" customHeight="1">
      <c r="G100" s="19"/>
      <c r="J100" s="17"/>
    </row>
    <row r="101" ht="36.75" customHeight="1">
      <c r="J101" s="17"/>
    </row>
    <row r="102" ht="36.75" customHeight="1">
      <c r="J102" s="17"/>
    </row>
    <row r="103" ht="36.75" customHeight="1">
      <c r="J103" s="17"/>
    </row>
    <row r="104" ht="36.75" customHeight="1">
      <c r="J104" s="17"/>
    </row>
    <row r="105" ht="36.75" customHeight="1">
      <c r="J105" s="17"/>
    </row>
    <row r="106" ht="36.75" customHeight="1">
      <c r="J106" s="17"/>
    </row>
    <row r="107" ht="36.75" customHeight="1">
      <c r="J107" s="17"/>
    </row>
    <row r="108" ht="36.75" customHeight="1">
      <c r="J108" s="17"/>
    </row>
    <row r="109" ht="36.75" customHeight="1">
      <c r="J109" s="17"/>
    </row>
    <row r="110" ht="36.75" customHeight="1">
      <c r="J110" s="17"/>
    </row>
    <row r="111" ht="36.75" customHeight="1">
      <c r="J111" s="17"/>
    </row>
    <row r="112" ht="36.75" customHeight="1">
      <c r="J112" s="17"/>
    </row>
    <row r="113" ht="36.75" customHeight="1">
      <c r="J113" s="17"/>
    </row>
    <row r="114" ht="36.75" customHeight="1">
      <c r="J114" s="17"/>
    </row>
    <row r="115" ht="36.75" customHeight="1">
      <c r="J115" s="17"/>
    </row>
    <row r="116" ht="36.75" customHeight="1">
      <c r="J116" s="17"/>
    </row>
    <row r="117" ht="36.75" customHeight="1">
      <c r="J117" s="17"/>
    </row>
    <row r="118" ht="36.75" customHeight="1">
      <c r="J118" s="17"/>
    </row>
    <row r="119" ht="36.75" customHeight="1">
      <c r="J119" s="17"/>
    </row>
    <row r="120" ht="36.75" customHeight="1">
      <c r="J120" s="17"/>
    </row>
    <row r="121" ht="36.75" customHeight="1">
      <c r="J121" s="17"/>
    </row>
    <row r="122" ht="36.75" customHeight="1">
      <c r="J122" s="17"/>
    </row>
    <row r="123" ht="36.75" customHeight="1">
      <c r="J123" s="17"/>
    </row>
    <row r="124" ht="36.75" customHeight="1">
      <c r="J124" s="17"/>
    </row>
    <row r="125" ht="36.75" customHeight="1">
      <c r="J125" s="17"/>
    </row>
    <row r="126" ht="36.75" customHeight="1">
      <c r="J126" s="17"/>
    </row>
    <row r="127" ht="36.75" customHeight="1">
      <c r="J127" s="17"/>
    </row>
    <row r="128" ht="36.75" customHeight="1">
      <c r="J128" s="17"/>
    </row>
    <row r="129" ht="36.75" customHeight="1">
      <c r="J129" s="17"/>
    </row>
    <row r="130" ht="36.75" customHeight="1">
      <c r="J130" s="17"/>
    </row>
  </sheetData>
  <sheetProtection selectLockedCells="1" selectUnlockedCells="1"/>
  <mergeCells count="82">
    <mergeCell ref="H36:H38"/>
    <mergeCell ref="A58:A60"/>
    <mergeCell ref="D58:D60"/>
    <mergeCell ref="E58:E60"/>
    <mergeCell ref="H58:H60"/>
    <mergeCell ref="A39:A41"/>
    <mergeCell ref="B39:B41"/>
    <mergeCell ref="C39:C41"/>
    <mergeCell ref="A36:A38"/>
    <mergeCell ref="H76:H77"/>
    <mergeCell ref="A79:A80"/>
    <mergeCell ref="B79:B80"/>
    <mergeCell ref="C79:C80"/>
    <mergeCell ref="D79:D80"/>
    <mergeCell ref="E79:E80"/>
    <mergeCell ref="H79:H80"/>
    <mergeCell ref="A76:A77"/>
    <mergeCell ref="B76:B77"/>
    <mergeCell ref="C76:C77"/>
    <mergeCell ref="D76:D77"/>
    <mergeCell ref="D71:D73"/>
    <mergeCell ref="E71:E73"/>
    <mergeCell ref="E76:E77"/>
    <mergeCell ref="H71:H73"/>
    <mergeCell ref="H39:H41"/>
    <mergeCell ref="H46:H48"/>
    <mergeCell ref="B44:B45"/>
    <mergeCell ref="C44:C45"/>
    <mergeCell ref="D44:D45"/>
    <mergeCell ref="E44:E45"/>
    <mergeCell ref="H44:H45"/>
    <mergeCell ref="B58:B60"/>
    <mergeCell ref="C58:C60"/>
    <mergeCell ref="A71:A73"/>
    <mergeCell ref="B71:B73"/>
    <mergeCell ref="C71:C73"/>
    <mergeCell ref="E39:E41"/>
    <mergeCell ref="A46:A48"/>
    <mergeCell ref="B46:B48"/>
    <mergeCell ref="C46:C48"/>
    <mergeCell ref="D46:D48"/>
    <mergeCell ref="E46:E48"/>
    <mergeCell ref="A44:A45"/>
    <mergeCell ref="A68:A70"/>
    <mergeCell ref="E68:E70"/>
    <mergeCell ref="D68:D70"/>
    <mergeCell ref="H68:H70"/>
    <mergeCell ref="A10:A12"/>
    <mergeCell ref="D61:D63"/>
    <mergeCell ref="E61:E63"/>
    <mergeCell ref="D10:D12"/>
    <mergeCell ref="E10:E12"/>
    <mergeCell ref="D39:D41"/>
    <mergeCell ref="A61:A63"/>
    <mergeCell ref="B61:B63"/>
    <mergeCell ref="C61:C63"/>
    <mergeCell ref="E36:E38"/>
    <mergeCell ref="C7:C9"/>
    <mergeCell ref="D7:D9"/>
    <mergeCell ref="B36:B38"/>
    <mergeCell ref="C36:C38"/>
    <mergeCell ref="D36:D38"/>
    <mergeCell ref="A7:A9"/>
    <mergeCell ref="B10:B12"/>
    <mergeCell ref="C10:C12"/>
    <mergeCell ref="A1:I1"/>
    <mergeCell ref="A2:I2"/>
    <mergeCell ref="A3:I3"/>
    <mergeCell ref="E7:E9"/>
    <mergeCell ref="H7:H9"/>
    <mergeCell ref="H10:H12"/>
    <mergeCell ref="B7:B9"/>
    <mergeCell ref="A95:I95"/>
    <mergeCell ref="A42:A43"/>
    <mergeCell ref="B42:B43"/>
    <mergeCell ref="C42:C43"/>
    <mergeCell ref="D42:D43"/>
    <mergeCell ref="E42:E43"/>
    <mergeCell ref="H42:H43"/>
    <mergeCell ref="H61:H63"/>
    <mergeCell ref="B68:B70"/>
    <mergeCell ref="C68:C70"/>
  </mergeCells>
  <printOptions horizontalCentered="1"/>
  <pageMargins left="0" right="0" top="0.5905511811023623" bottom="0.3937007874015748" header="0.1968503937007874" footer="0.1968503937007874"/>
  <pageSetup fitToHeight="20" horizontalDpi="300" verticalDpi="300" orientation="landscape" paperSize="9" scale="43" r:id="rId1"/>
  <headerFooter alignWithMargins="0">
    <oddFooter>&amp;CPágina &amp;P de &amp;N</oddFooter>
  </headerFooter>
  <rowBreaks count="7" manualBreakCount="7">
    <brk id="15" max="1" man="1"/>
    <brk id="26" max="1" man="1"/>
    <brk id="38" max="8" man="1"/>
    <brk id="45" max="1" man="1"/>
    <brk id="60" max="1" man="1"/>
    <brk id="75" max="1" man="1"/>
    <brk id="87" max="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da Silva Tenorio mtenorio</dc:creator>
  <cp:keywords/>
  <dc:description/>
  <cp:lastModifiedBy>lalmeida</cp:lastModifiedBy>
  <cp:lastPrinted>2018-08-21T11:26:53Z</cp:lastPrinted>
  <dcterms:created xsi:type="dcterms:W3CDTF">2015-02-23T14:18:13Z</dcterms:created>
  <dcterms:modified xsi:type="dcterms:W3CDTF">2018-11-08T13:13:27Z</dcterms:modified>
  <cp:category/>
  <cp:version/>
  <cp:contentType/>
  <cp:contentStatus/>
</cp:coreProperties>
</file>