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tabRatio="896" activeTab="0"/>
  </bookViews>
  <sheets>
    <sheet name="2º Bim. 2011" sheetId="1" r:id="rId1"/>
  </sheets>
  <definedNames>
    <definedName name="_xlfn.SUMIFS" hidden="1">#NAME?</definedName>
    <definedName name="_xlnm.Print_Area" localSheetId="0">'2º Bim. 2011'!$A$1:$J$82</definedName>
    <definedName name="Z_FED31D73_12BC_4C9A_9468_72952A34E245_.wvu.PrintArea" localSheetId="0" hidden="1">'2º Bim. 2011'!$A$1:$J$82</definedName>
  </definedNames>
  <calcPr fullCalcOnLoad="1"/>
</workbook>
</file>

<file path=xl/sharedStrings.xml><?xml version="1.0" encoding="utf-8"?>
<sst xmlns="http://schemas.openxmlformats.org/spreadsheetml/2006/main" count="99" uniqueCount="93">
  <si>
    <t>Secret.Adjunta de Planej. e Finanças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</si>
  <si>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</si>
  <si>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</si>
  <si>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</si>
  <si>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</si>
  <si>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</si>
  <si>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</si>
  <si>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</si>
  <si>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</si>
  <si>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</si>
  <si>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</si>
  <si>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>Prefeito Municipal</t>
  </si>
  <si>
    <t>Resp. pelo Controle Interno</t>
  </si>
  <si>
    <t>Roberto Rolli</t>
  </si>
  <si>
    <t>Rita de Cássia G. e Martins</t>
  </si>
  <si>
    <t>José Bruno Cerri</t>
  </si>
  <si>
    <t>MUNICÍPIO DE ATIBAIA</t>
  </si>
  <si>
    <t>José Bernardo Denig</t>
  </si>
  <si>
    <t>CRC SP 173.493</t>
  </si>
  <si>
    <t>2º BIMESTRE DE 2011</t>
  </si>
  <si>
    <t>2º BIMESTRE</t>
  </si>
  <si>
    <t xml:space="preserve"> (Artigo  52, Inciso II, alínea “c” da LC. 101/00)</t>
  </si>
  <si>
    <t>Cód. Função</t>
  </si>
  <si>
    <t>Cód. Subf.</t>
  </si>
  <si>
    <t>Funções/Subfunções</t>
  </si>
  <si>
    <t>a empenhar</t>
  </si>
  <si>
    <t>LEGISLATIVO</t>
  </si>
  <si>
    <t>Ação Legislativa</t>
  </si>
  <si>
    <t>Previdência do Regime Estatutário</t>
  </si>
  <si>
    <t>JUDI CIÁRIA</t>
  </si>
  <si>
    <t>Ação Judicária</t>
  </si>
  <si>
    <t>Defesa Int.Públ.no Proc.Judiciário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</si>
  <si>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</si>
  <si>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</si>
  <si>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</si>
  <si>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</si>
  <si>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</si>
  <si>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</si>
  <si>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</si>
  <si>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</si>
  <si>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</si>
  <si>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</si>
  <si>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</si>
  <si>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</si>
  <si>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Assist. ao Portador de Deficiência</t>
  </si>
  <si>
    <t>Assist. à Criança e ao Adolescente</t>
  </si>
  <si>
    <t>Assistência Comunitária</t>
  </si>
  <si>
    <t>Alimentação e Nutrição</t>
  </si>
  <si>
    <t>Empregabilidade</t>
  </si>
  <si>
    <t>Habitação Urbana</t>
  </si>
  <si>
    <t>PREVIDÊNCIA SOCIAL</t>
  </si>
  <si>
    <t>SAÚDE</t>
  </si>
  <si>
    <t>Atenção Básica</t>
  </si>
  <si>
    <t>Assistência Hospitalar e Ambulatorial</t>
  </si>
  <si>
    <t>Vigilância Sanitária</t>
  </si>
  <si>
    <t>Vigilância Epidemiológica</t>
  </si>
  <si>
    <t>Saneamento Básico Urbano</t>
  </si>
  <si>
    <t>EDUCAÇÃO</t>
  </si>
  <si>
    <t>Ensino Fundamental</t>
  </si>
  <si>
    <t>Ensino Médio</t>
  </si>
  <si>
    <t>Ensino Profissional</t>
  </si>
  <si>
    <t>Educação Infantil</t>
  </si>
  <si>
    <t>Educação de Jovens e Adultos</t>
  </si>
  <si>
    <t>Educação Especial</t>
  </si>
  <si>
    <t>CULTURA</t>
  </si>
  <si>
    <t>Patr. Histórico, Artístico e Arqueológico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</si>
  <si>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</si>
  <si>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</si>
  <si>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</si>
  <si>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</si>
  <si>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</si>
  <si>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</si>
  <si>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SANEAMENTO</t>
  </si>
  <si>
    <t>GESTÃO AMBIENTAL</t>
  </si>
  <si>
    <t>Preservação e Conservação Ambiental</t>
  </si>
  <si>
    <t>AGRICULTURA</t>
  </si>
  <si>
    <t>Promoção da Produção Vegetal</t>
  </si>
  <si>
    <t>Promoção da Produção Animal</t>
  </si>
  <si>
    <t>Abastecimento</t>
  </si>
  <si>
    <t>COMÉRCIO E SERVIÇOS</t>
  </si>
  <si>
    <t>Promoção Comercial</t>
  </si>
  <si>
    <t>Turismo</t>
  </si>
  <si>
    <t>COMUNICAÇÕES</t>
  </si>
  <si>
    <t>TRANSPORTE</t>
  </si>
  <si>
    <t>Transporte Rodoviário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</si>
  <si>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</si>
  <si>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</si>
  <si>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</si>
  <si>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</si>
  <si>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</si>
  <si>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</si>
  <si>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</si>
  <si>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Secret.de Planej. e Finanças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</si>
</sst>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  <font>
      <b/>
      <sz val="12"/>
      <color rgb="FF005F89"/>
      <name val="Arial"/>
      <family val="2"/>
    </font>
    <font>
      <sz val="12"/>
      <color rgb="FF005F89"/>
      <name val="Arial"/>
      <family val="2"/>
    </font>
    <font>
      <b/>
      <sz val="16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2" fillId="22" borderId="0" applyNumberFormat="0" applyBorder="0" applyAlignment="0" applyProtection="0"/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39" fontId="0" fillId="0" borderId="0" xfId="0" applyNumberFormat="1" applyFont="1" applyAlignment="1" applyProtection="1">
      <alignment vertical="center"/>
      <protection hidden="1"/>
    </xf>
    <xf numFmtId="1" fontId="23" fillId="0" borderId="10" xfId="53" applyNumberFormat="1" applyFont="1" applyBorder="1" applyAlignment="1" applyProtection="1">
      <alignment horizontal="center" vertical="center"/>
      <protection hidden="1"/>
    </xf>
    <xf numFmtId="1" fontId="23" fillId="0" borderId="11" xfId="53" applyNumberFormat="1" applyFont="1" applyBorder="1" applyAlignment="1" applyProtection="1">
      <alignment horizontal="center" vertical="center"/>
      <protection hidden="1"/>
    </xf>
    <xf numFmtId="1" fontId="23" fillId="0" borderId="11" xfId="53" applyNumberFormat="1" applyFont="1" applyBorder="1" applyAlignment="1" applyProtection="1">
      <alignment horizontal="left" vertical="center"/>
      <protection hidden="1"/>
    </xf>
    <xf numFmtId="43" fontId="23" fillId="0" borderId="11" xfId="53" applyNumberFormat="1" applyFont="1" applyBorder="1" applyAlignment="1" applyProtection="1">
      <alignment horizontal="right" vertical="center"/>
      <protection hidden="1"/>
    </xf>
    <xf numFmtId="43" fontId="23" fillId="0" borderId="12" xfId="53" applyNumberFormat="1" applyFont="1" applyBorder="1" applyAlignment="1" applyProtection="1">
      <alignment horizontal="right" vertical="center"/>
      <protection hidden="1"/>
    </xf>
    <xf numFmtId="43" fontId="23" fillId="0" borderId="11" xfId="53" applyNumberFormat="1" applyFont="1" applyBorder="1" applyAlignment="1" applyProtection="1">
      <alignment horizontal="right" vertical="center"/>
      <protection locked="0"/>
    </xf>
    <xf numFmtId="1" fontId="24" fillId="24" borderId="13" xfId="53" applyNumberFormat="1" applyFont="1" applyFill="1" applyBorder="1" applyAlignment="1" applyProtection="1">
      <alignment horizontal="center" vertical="center"/>
      <protection hidden="1"/>
    </xf>
    <xf numFmtId="1" fontId="24" fillId="24" borderId="14" xfId="53" applyNumberFormat="1" applyFont="1" applyFill="1" applyBorder="1" applyAlignment="1" applyProtection="1">
      <alignment horizontal="center" vertical="center"/>
      <protection hidden="1"/>
    </xf>
    <xf numFmtId="1" fontId="24" fillId="24" borderId="14" xfId="53" applyNumberFormat="1" applyFont="1" applyFill="1" applyBorder="1" applyAlignment="1" applyProtection="1">
      <alignment horizontal="left" vertical="center"/>
      <protection hidden="1"/>
    </xf>
    <xf numFmtId="43" fontId="24" fillId="24" borderId="14" xfId="53" applyNumberFormat="1" applyFont="1" applyFill="1" applyBorder="1" applyAlignment="1" applyProtection="1">
      <alignment horizontal="right" vertical="center"/>
      <protection hidden="1"/>
    </xf>
    <xf numFmtId="43" fontId="24" fillId="24" borderId="15" xfId="53" applyNumberFormat="1" applyFont="1" applyFill="1" applyBorder="1" applyAlignment="1" applyProtection="1">
      <alignment horizontal="right" vertical="center"/>
      <protection hidden="1"/>
    </xf>
    <xf numFmtId="43" fontId="23" fillId="0" borderId="11" xfId="53" applyNumberFormat="1" applyFont="1" applyBorder="1" applyAlignment="1" applyProtection="1">
      <alignment vertical="center"/>
      <protection locked="0"/>
    </xf>
    <xf numFmtId="43" fontId="23" fillId="0" borderId="12" xfId="53" applyNumberFormat="1" applyFont="1" applyBorder="1" applyAlignment="1" applyProtection="1">
      <alignment vertical="center"/>
      <protection hidden="1"/>
    </xf>
    <xf numFmtId="0" fontId="31" fillId="25" borderId="11" xfId="53" applyFont="1" applyFill="1" applyBorder="1" applyAlignment="1" applyProtection="1">
      <alignment horizontal="center" vertical="center"/>
      <protection hidden="1"/>
    </xf>
    <xf numFmtId="0" fontId="32" fillId="0" borderId="0" xfId="53" applyFont="1" applyBorder="1" applyAlignment="1" applyProtection="1">
      <alignment vertical="center"/>
      <protection hidden="1"/>
    </xf>
    <xf numFmtId="39" fontId="32" fillId="0" borderId="0" xfId="53" applyNumberFormat="1" applyFont="1" applyBorder="1" applyAlignment="1" applyProtection="1">
      <alignment vertical="center"/>
      <protection hidden="1"/>
    </xf>
    <xf numFmtId="39" fontId="33" fillId="0" borderId="0" xfId="53" applyNumberFormat="1" applyFont="1" applyBorder="1" applyAlignment="1" applyProtection="1">
      <alignment vertical="center"/>
      <protection hidden="1"/>
    </xf>
    <xf numFmtId="39" fontId="34" fillId="0" borderId="0" xfId="53" applyNumberFormat="1" applyFont="1" applyBorder="1" applyAlignment="1" applyProtection="1">
      <alignment vertical="center"/>
      <protection hidden="1"/>
    </xf>
    <xf numFmtId="0" fontId="31" fillId="25" borderId="16" xfId="53" applyFont="1" applyFill="1" applyBorder="1" applyAlignment="1" applyProtection="1">
      <alignment horizontal="center" vertical="center"/>
      <protection hidden="1"/>
    </xf>
    <xf numFmtId="39" fontId="31" fillId="25" borderId="11" xfId="53" applyNumberFormat="1" applyFont="1" applyFill="1" applyBorder="1" applyAlignment="1" applyProtection="1">
      <alignment horizontal="center" vertical="center"/>
      <protection hidden="1"/>
    </xf>
    <xf numFmtId="39" fontId="31" fillId="25" borderId="12" xfId="53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5" fillId="0" borderId="0" xfId="53" applyFont="1" applyBorder="1" applyAlignment="1" applyProtection="1">
      <alignment horizontal="center" vertical="center"/>
      <protection hidden="1"/>
    </xf>
    <xf numFmtId="0" fontId="33" fillId="0" borderId="0" xfId="53" applyFont="1" applyBorder="1" applyAlignment="1" applyProtection="1">
      <alignment horizontal="center" vertical="center"/>
      <protection hidden="1"/>
    </xf>
    <xf numFmtId="0" fontId="32" fillId="0" borderId="0" xfId="53" applyFont="1" applyBorder="1" applyAlignment="1" applyProtection="1">
      <alignment horizontal="center" vertical="center"/>
      <protection hidden="1"/>
    </xf>
    <xf numFmtId="0" fontId="22" fillId="0" borderId="0" xfId="53" applyFont="1" applyBorder="1" applyAlignment="1" applyProtection="1">
      <alignment horizontal="right" vertical="center"/>
      <protection hidden="1"/>
    </xf>
    <xf numFmtId="0" fontId="31" fillId="25" borderId="17" xfId="53" applyFont="1" applyFill="1" applyBorder="1" applyAlignment="1" applyProtection="1">
      <alignment horizontal="center" vertical="center" wrapText="1"/>
      <protection hidden="1"/>
    </xf>
    <xf numFmtId="0" fontId="31" fillId="25" borderId="10" xfId="53" applyFont="1" applyFill="1" applyBorder="1" applyAlignment="1" applyProtection="1">
      <alignment horizontal="center" vertical="center" wrapText="1"/>
      <protection hidden="1"/>
    </xf>
    <xf numFmtId="0" fontId="31" fillId="25" borderId="16" xfId="53" applyFont="1" applyFill="1" applyBorder="1" applyAlignment="1" applyProtection="1">
      <alignment horizontal="center" vertical="center" wrapText="1"/>
      <protection hidden="1"/>
    </xf>
    <xf numFmtId="0" fontId="31" fillId="25" borderId="11" xfId="53" applyFont="1" applyFill="1" applyBorder="1" applyAlignment="1" applyProtection="1">
      <alignment horizontal="center" vertical="center" wrapText="1"/>
      <protection hidden="1"/>
    </xf>
    <xf numFmtId="39" fontId="31" fillId="25" borderId="16" xfId="53" applyNumberFormat="1" applyFont="1" applyFill="1" applyBorder="1" applyAlignment="1" applyProtection="1">
      <alignment horizontal="center" vertical="center"/>
      <protection hidden="1"/>
    </xf>
    <xf numFmtId="39" fontId="31" fillId="25" borderId="18" xfId="53" applyNumberFormat="1" applyFont="1" applyFill="1" applyBorder="1" applyAlignment="1" applyProtection="1">
      <alignment horizontal="center" vertical="center"/>
      <protection hidden="1"/>
    </xf>
    <xf numFmtId="0" fontId="33" fillId="0" borderId="0" xfId="53" applyFont="1" applyBorder="1" applyAlignment="1" applyProtection="1">
      <alignment horizontal="left" vertical="center" inden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_Plan1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showGridLines="0" tabSelected="1" zoomScalePageLayoutView="0" workbookViewId="0" topLeftCell="A1">
      <selection activeCell="G23" sqref="G23"/>
    </sheetView>
  </sheetViews>
  <sheetFormatPr defaultColWidth="9.140625" defaultRowHeight="12.75"/>
  <cols>
    <col min="1" max="2" width="9.140625" style="1" customWidth="1"/>
    <col min="3" max="3" width="30.7109375" style="1" customWidth="1"/>
    <col min="4" max="10" width="14.7109375" style="2" customWidth="1"/>
    <col min="11" max="11" width="13.421875" style="1" bestFit="1" customWidth="1"/>
    <col min="12" max="16384" width="9.140625" style="1" customWidth="1"/>
  </cols>
  <sheetData>
    <row r="1" spans="1:10" ht="20.25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8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8">
      <c r="A4" s="36" t="s">
        <v>16</v>
      </c>
      <c r="B4" s="17"/>
      <c r="C4" s="17"/>
      <c r="D4" s="18"/>
      <c r="E4" s="19"/>
      <c r="F4" s="20"/>
      <c r="G4" s="20"/>
      <c r="H4" s="20"/>
      <c r="I4" s="20"/>
      <c r="J4" s="20"/>
    </row>
    <row r="5" spans="1:10" ht="18">
      <c r="A5" s="36" t="s">
        <v>19</v>
      </c>
      <c r="B5" s="17"/>
      <c r="C5" s="17"/>
      <c r="D5" s="18"/>
      <c r="E5" s="19"/>
      <c r="F5" s="20"/>
      <c r="G5" s="20"/>
      <c r="H5" s="20"/>
      <c r="I5" s="20"/>
      <c r="J5" s="20"/>
    </row>
    <row r="6" spans="1:10" ht="13.5" thickBo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 thickTop="1">
      <c r="A7" s="30" t="s">
        <v>22</v>
      </c>
      <c r="B7" s="32" t="s">
        <v>23</v>
      </c>
      <c r="C7" s="21" t="s">
        <v>7</v>
      </c>
      <c r="D7" s="34" t="s">
        <v>8</v>
      </c>
      <c r="E7" s="34"/>
      <c r="F7" s="34" t="s">
        <v>20</v>
      </c>
      <c r="G7" s="34"/>
      <c r="H7" s="34" t="s">
        <v>4</v>
      </c>
      <c r="I7" s="34"/>
      <c r="J7" s="35"/>
    </row>
    <row r="8" spans="1:10" ht="15" customHeight="1">
      <c r="A8" s="31"/>
      <c r="B8" s="33"/>
      <c r="C8" s="16" t="s">
        <v>24</v>
      </c>
      <c r="D8" s="22" t="s">
        <v>5</v>
      </c>
      <c r="E8" s="22" t="s">
        <v>6</v>
      </c>
      <c r="F8" s="22" t="s">
        <v>9</v>
      </c>
      <c r="G8" s="22" t="s">
        <v>10</v>
      </c>
      <c r="H8" s="22" t="s">
        <v>9</v>
      </c>
      <c r="I8" s="22" t="s">
        <v>10</v>
      </c>
      <c r="J8" s="23" t="s">
        <v>25</v>
      </c>
    </row>
    <row r="9" spans="1:11" ht="15" customHeight="1">
      <c r="A9" s="3">
        <v>1</v>
      </c>
      <c r="B9" s="4">
        <v>0</v>
      </c>
      <c r="C9" s="5" t="s">
        <v>26</v>
      </c>
      <c r="D9" s="6">
        <f aca="true" t="shared" si="0" ref="D9:J9">SUM(D10:D11)</f>
        <v>7300000</v>
      </c>
      <c r="E9" s="6">
        <f t="shared" si="0"/>
        <v>7500000</v>
      </c>
      <c r="F9" s="6">
        <f t="shared" si="0"/>
        <v>88156.98999999929</v>
      </c>
      <c r="G9" s="6">
        <f t="shared" si="0"/>
        <v>992716.2400000001</v>
      </c>
      <c r="H9" s="6">
        <f t="shared" si="0"/>
        <v>6724957.27</v>
      </c>
      <c r="I9" s="6">
        <f t="shared" si="0"/>
        <v>2016877.07</v>
      </c>
      <c r="J9" s="7">
        <f t="shared" si="0"/>
        <v>775042.7300000004</v>
      </c>
      <c r="K9" s="2"/>
    </row>
    <row r="10" spans="1:10" ht="15" customHeight="1">
      <c r="A10" s="3">
        <v>1</v>
      </c>
      <c r="B10" s="4">
        <v>31</v>
      </c>
      <c r="C10" s="5" t="s">
        <v>27</v>
      </c>
      <c r="D10" s="8">
        <v>6605636</v>
      </c>
      <c r="E10" s="8">
        <v>6805636</v>
      </c>
      <c r="F10" s="14">
        <f>H10-5942436.28</f>
        <v>88156.98999999929</v>
      </c>
      <c r="G10" s="14">
        <f>I10-922038.83</f>
        <v>890594.2400000001</v>
      </c>
      <c r="H10" s="14">
        <v>6030593.27</v>
      </c>
      <c r="I10" s="14">
        <v>1812633.07</v>
      </c>
      <c r="J10" s="15">
        <f>E10-H10</f>
        <v>775042.7300000004</v>
      </c>
    </row>
    <row r="11" spans="1:10" ht="15" customHeight="1">
      <c r="A11" s="3">
        <v>1</v>
      </c>
      <c r="B11" s="4">
        <v>272</v>
      </c>
      <c r="C11" s="5" t="s">
        <v>28</v>
      </c>
      <c r="D11" s="8">
        <v>694364</v>
      </c>
      <c r="E11" s="8">
        <v>694364</v>
      </c>
      <c r="F11" s="14">
        <f>H11-694364</f>
        <v>0</v>
      </c>
      <c r="G11" s="14">
        <f>I11-102122</f>
        <v>102122</v>
      </c>
      <c r="H11" s="14">
        <v>694364</v>
      </c>
      <c r="I11" s="14">
        <v>204244</v>
      </c>
      <c r="J11" s="15">
        <f>E11-H11</f>
        <v>0</v>
      </c>
    </row>
    <row r="12" spans="1:10" ht="15" customHeight="1">
      <c r="A12" s="3">
        <v>2</v>
      </c>
      <c r="B12" s="4">
        <v>0</v>
      </c>
      <c r="C12" s="5" t="s">
        <v>29</v>
      </c>
      <c r="D12" s="6">
        <f aca="true" t="shared" si="1" ref="D12:J12">SUM(D13:D14)</f>
        <v>4762700</v>
      </c>
      <c r="E12" s="6">
        <f t="shared" si="1"/>
        <v>4909385.62</v>
      </c>
      <c r="F12" s="6">
        <f t="shared" si="1"/>
        <v>693539.0900000001</v>
      </c>
      <c r="G12" s="6">
        <f t="shared" si="1"/>
        <v>764369.11</v>
      </c>
      <c r="H12" s="6">
        <f t="shared" si="1"/>
        <v>1686047.78</v>
      </c>
      <c r="I12" s="6">
        <f t="shared" si="1"/>
        <v>1315298</v>
      </c>
      <c r="J12" s="7">
        <f t="shared" si="1"/>
        <v>3223337.84</v>
      </c>
    </row>
    <row r="13" spans="1:10" ht="15" customHeight="1">
      <c r="A13" s="3">
        <v>2</v>
      </c>
      <c r="B13" s="4">
        <v>61</v>
      </c>
      <c r="C13" s="5" t="s">
        <v>30</v>
      </c>
      <c r="D13" s="8">
        <v>4563700</v>
      </c>
      <c r="E13" s="8">
        <v>4710385.62</v>
      </c>
      <c r="F13" s="14">
        <f>H13-799376.97</f>
        <v>693539.0900000001</v>
      </c>
      <c r="G13" s="14">
        <f>I13-502645.96</f>
        <v>732180.49</v>
      </c>
      <c r="H13" s="14">
        <v>1492916.06</v>
      </c>
      <c r="I13" s="14">
        <v>1234826.45</v>
      </c>
      <c r="J13" s="15">
        <f aca="true" t="shared" si="2" ref="J13:J76">E13-H13</f>
        <v>3217469.56</v>
      </c>
    </row>
    <row r="14" spans="1:10" ht="15" customHeight="1">
      <c r="A14" s="3">
        <v>2</v>
      </c>
      <c r="B14" s="4">
        <v>62</v>
      </c>
      <c r="C14" s="5" t="s">
        <v>31</v>
      </c>
      <c r="D14" s="8">
        <v>199000</v>
      </c>
      <c r="E14" s="8">
        <v>199000</v>
      </c>
      <c r="F14" s="14">
        <f>H14-193131.72</f>
        <v>0</v>
      </c>
      <c r="G14" s="14">
        <f>I14-48282.93</f>
        <v>32188.620000000003</v>
      </c>
      <c r="H14" s="14">
        <v>193131.72</v>
      </c>
      <c r="I14" s="14">
        <v>80471.55</v>
      </c>
      <c r="J14" s="15">
        <f t="shared" si="2"/>
        <v>5868.279999999999</v>
      </c>
    </row>
    <row r="15" spans="1:11" ht="15" customHeight="1">
      <c r="A15" s="3">
        <v>4</v>
      </c>
      <c r="B15" s="4">
        <v>0</v>
      </c>
      <c r="C15" s="5" t="s">
        <v>32</v>
      </c>
      <c r="D15" s="6">
        <f aca="true" t="shared" si="3" ref="D15:J15">SUM(D16:D21)</f>
        <v>31130300</v>
      </c>
      <c r="E15" s="6">
        <f t="shared" si="3"/>
        <v>33228280.830000006</v>
      </c>
      <c r="F15" s="6">
        <f t="shared" si="3"/>
        <v>7338602.159999999</v>
      </c>
      <c r="G15" s="6">
        <f t="shared" si="3"/>
        <v>4987878.91</v>
      </c>
      <c r="H15" s="6">
        <f t="shared" si="3"/>
        <v>15852223.660000002</v>
      </c>
      <c r="I15" s="6">
        <f t="shared" si="3"/>
        <v>8927169.799999999</v>
      </c>
      <c r="J15" s="7">
        <f t="shared" si="3"/>
        <v>17376057.17</v>
      </c>
      <c r="K15" s="2"/>
    </row>
    <row r="16" spans="1:10" ht="15" customHeight="1">
      <c r="A16" s="3">
        <v>4</v>
      </c>
      <c r="B16" s="4">
        <v>122</v>
      </c>
      <c r="C16" s="5" t="s">
        <v>33</v>
      </c>
      <c r="D16" s="8">
        <v>13484900</v>
      </c>
      <c r="E16" s="8">
        <v>15007706.24</v>
      </c>
      <c r="F16" s="14">
        <f>H16-3369008.39</f>
        <v>2446695.1599999997</v>
      </c>
      <c r="G16" s="14">
        <f>I16-1754299.39</f>
        <v>2557259.7</v>
      </c>
      <c r="H16" s="14">
        <v>5815703.55</v>
      </c>
      <c r="I16" s="14">
        <v>4311559.09</v>
      </c>
      <c r="J16" s="15">
        <f t="shared" si="2"/>
        <v>9192002.690000001</v>
      </c>
    </row>
    <row r="17" spans="1:10" ht="15" customHeight="1">
      <c r="A17" s="3">
        <v>4</v>
      </c>
      <c r="B17" s="4">
        <v>123</v>
      </c>
      <c r="C17" s="5" t="s">
        <v>34</v>
      </c>
      <c r="D17" s="8">
        <v>6997800</v>
      </c>
      <c r="E17" s="8">
        <v>7349309.08</v>
      </c>
      <c r="F17" s="14">
        <f>H17-1575697.58</f>
        <v>1011666.1099999999</v>
      </c>
      <c r="G17" s="14">
        <f>I17-933221.71</f>
        <v>1034063.98</v>
      </c>
      <c r="H17" s="14">
        <v>2587363.69</v>
      </c>
      <c r="I17" s="14">
        <v>1967285.69</v>
      </c>
      <c r="J17" s="15">
        <f t="shared" si="2"/>
        <v>4761945.390000001</v>
      </c>
    </row>
    <row r="18" spans="1:10" ht="15" customHeight="1">
      <c r="A18" s="3">
        <v>4</v>
      </c>
      <c r="B18" s="4">
        <v>126</v>
      </c>
      <c r="C18" s="5" t="s">
        <v>35</v>
      </c>
      <c r="D18" s="8">
        <v>885800</v>
      </c>
      <c r="E18" s="8">
        <v>903469.92</v>
      </c>
      <c r="F18" s="14">
        <f>H18-127369.34</f>
        <v>126305.32</v>
      </c>
      <c r="G18" s="14">
        <f>I18-92976.79</f>
        <v>125963.83</v>
      </c>
      <c r="H18" s="14">
        <v>253674.66</v>
      </c>
      <c r="I18" s="14">
        <v>218940.62</v>
      </c>
      <c r="J18" s="15">
        <f t="shared" si="2"/>
        <v>649795.26</v>
      </c>
    </row>
    <row r="19" spans="1:10" ht="15" customHeight="1">
      <c r="A19" s="3">
        <v>4</v>
      </c>
      <c r="B19" s="4">
        <v>128</v>
      </c>
      <c r="C19" s="5" t="s">
        <v>36</v>
      </c>
      <c r="D19" s="8">
        <v>8406900</v>
      </c>
      <c r="E19" s="8">
        <v>8612302.13</v>
      </c>
      <c r="F19" s="14">
        <f>H19-3008992.61</f>
        <v>3727124.18</v>
      </c>
      <c r="G19" s="14">
        <f>I19-1128017.32</f>
        <v>1245164.34</v>
      </c>
      <c r="H19" s="14">
        <v>6736116.79</v>
      </c>
      <c r="I19" s="14">
        <v>2373181.66</v>
      </c>
      <c r="J19" s="15">
        <f t="shared" si="2"/>
        <v>1876185.3400000008</v>
      </c>
    </row>
    <row r="20" spans="1:10" ht="15" customHeight="1">
      <c r="A20" s="3">
        <v>4</v>
      </c>
      <c r="B20" s="4">
        <v>129</v>
      </c>
      <c r="C20" s="5" t="s">
        <v>37</v>
      </c>
      <c r="D20" s="8">
        <v>1185000</v>
      </c>
      <c r="E20" s="8">
        <v>1185000</v>
      </c>
      <c r="F20" s="14">
        <f>H20-400026</f>
        <v>399.79999999998836</v>
      </c>
      <c r="G20" s="14">
        <f>I20-0</f>
        <v>0</v>
      </c>
      <c r="H20" s="14">
        <v>400425.8</v>
      </c>
      <c r="I20" s="14">
        <v>0</v>
      </c>
      <c r="J20" s="15">
        <f t="shared" si="2"/>
        <v>784574.2</v>
      </c>
    </row>
    <row r="21" spans="1:10" ht="15" customHeight="1">
      <c r="A21" s="3">
        <v>4</v>
      </c>
      <c r="B21" s="4">
        <v>131</v>
      </c>
      <c r="C21" s="5" t="s">
        <v>38</v>
      </c>
      <c r="D21" s="8">
        <v>169900</v>
      </c>
      <c r="E21" s="8">
        <v>170493.46</v>
      </c>
      <c r="F21" s="14">
        <f>H21-32527.58</f>
        <v>26411.589999999997</v>
      </c>
      <c r="G21" s="14">
        <f>I21-30775.68</f>
        <v>25427.059999999998</v>
      </c>
      <c r="H21" s="14">
        <v>58939.17</v>
      </c>
      <c r="I21" s="14">
        <v>56202.74</v>
      </c>
      <c r="J21" s="15">
        <f t="shared" si="2"/>
        <v>111554.29</v>
      </c>
    </row>
    <row r="22" spans="1:11" ht="15" customHeight="1">
      <c r="A22" s="3">
        <v>6</v>
      </c>
      <c r="B22" s="4">
        <v>0</v>
      </c>
      <c r="C22" s="5" t="s">
        <v>39</v>
      </c>
      <c r="D22" s="6">
        <f aca="true" t="shared" si="4" ref="D22:J22">SUM(D23:D24)</f>
        <v>3953300</v>
      </c>
      <c r="E22" s="6">
        <f t="shared" si="4"/>
        <v>4258190.02</v>
      </c>
      <c r="F22" s="6">
        <f t="shared" si="4"/>
        <v>654762.1</v>
      </c>
      <c r="G22" s="6">
        <f t="shared" si="4"/>
        <v>687249.5</v>
      </c>
      <c r="H22" s="6">
        <f t="shared" si="4"/>
        <v>1412033.23</v>
      </c>
      <c r="I22" s="6">
        <f t="shared" si="4"/>
        <v>1194075.64</v>
      </c>
      <c r="J22" s="7">
        <f t="shared" si="4"/>
        <v>2846156.789999999</v>
      </c>
      <c r="K22" s="2"/>
    </row>
    <row r="23" spans="1:10" ht="15" customHeight="1">
      <c r="A23" s="3">
        <v>6</v>
      </c>
      <c r="B23" s="4">
        <v>181</v>
      </c>
      <c r="C23" s="5" t="s">
        <v>40</v>
      </c>
      <c r="D23" s="8">
        <v>3910300</v>
      </c>
      <c r="E23" s="8">
        <v>4215190.02</v>
      </c>
      <c r="F23" s="14">
        <f>H23-756260.01</f>
        <v>643222.02</v>
      </c>
      <c r="G23" s="14">
        <f>I23-506625.6</f>
        <v>678132.59</v>
      </c>
      <c r="H23" s="14">
        <v>1399482.03</v>
      </c>
      <c r="I23" s="14">
        <v>1184758.19</v>
      </c>
      <c r="J23" s="15">
        <f t="shared" si="2"/>
        <v>2815707.9899999993</v>
      </c>
    </row>
    <row r="24" spans="1:10" ht="15" customHeight="1">
      <c r="A24" s="3">
        <v>6</v>
      </c>
      <c r="B24" s="4">
        <v>182</v>
      </c>
      <c r="C24" s="5" t="s">
        <v>41</v>
      </c>
      <c r="D24" s="8">
        <v>43000</v>
      </c>
      <c r="E24" s="8">
        <v>43000</v>
      </c>
      <c r="F24" s="14">
        <f>H24-1011.12</f>
        <v>11540.08</v>
      </c>
      <c r="G24" s="14">
        <f>I24-200.54</f>
        <v>9116.91</v>
      </c>
      <c r="H24" s="14">
        <v>12551.2</v>
      </c>
      <c r="I24" s="14">
        <v>9317.45</v>
      </c>
      <c r="J24" s="15">
        <f t="shared" si="2"/>
        <v>30448.8</v>
      </c>
    </row>
    <row r="25" spans="1:10" ht="15" customHeight="1">
      <c r="A25" s="3">
        <v>8</v>
      </c>
      <c r="B25" s="4">
        <v>0</v>
      </c>
      <c r="C25" s="5" t="s">
        <v>42</v>
      </c>
      <c r="D25" s="6">
        <f aca="true" t="shared" si="5" ref="D25:J25">SUM(D26:D32)</f>
        <v>8740700</v>
      </c>
      <c r="E25" s="6">
        <f t="shared" si="5"/>
        <v>9772647.99</v>
      </c>
      <c r="F25" s="6">
        <f t="shared" si="5"/>
        <v>1387676.93</v>
      </c>
      <c r="G25" s="6">
        <f t="shared" si="5"/>
        <v>1103683.71</v>
      </c>
      <c r="H25" s="6">
        <f t="shared" si="5"/>
        <v>3595720.0300000003</v>
      </c>
      <c r="I25" s="6">
        <f t="shared" si="5"/>
        <v>1884876.73</v>
      </c>
      <c r="J25" s="7">
        <f t="shared" si="5"/>
        <v>6176927.959999999</v>
      </c>
    </row>
    <row r="26" spans="1:10" ht="15" customHeight="1">
      <c r="A26" s="3">
        <v>8</v>
      </c>
      <c r="B26" s="4">
        <v>241</v>
      </c>
      <c r="C26" s="5" t="s">
        <v>43</v>
      </c>
      <c r="D26" s="8">
        <v>40000</v>
      </c>
      <c r="E26" s="8">
        <v>40000</v>
      </c>
      <c r="F26" s="14">
        <f>H26-0</f>
        <v>0</v>
      </c>
      <c r="G26" s="14">
        <f>I26-0</f>
        <v>0</v>
      </c>
      <c r="H26" s="14">
        <v>0</v>
      </c>
      <c r="I26" s="14">
        <v>0</v>
      </c>
      <c r="J26" s="15">
        <f t="shared" si="2"/>
        <v>40000</v>
      </c>
    </row>
    <row r="27" spans="1:10" ht="15" customHeight="1">
      <c r="A27" s="3">
        <v>8</v>
      </c>
      <c r="B27" s="4">
        <v>242</v>
      </c>
      <c r="C27" s="5" t="s">
        <v>44</v>
      </c>
      <c r="D27" s="8">
        <v>58100</v>
      </c>
      <c r="E27" s="8">
        <v>58100</v>
      </c>
      <c r="F27" s="14">
        <f>H27-0</f>
        <v>34020</v>
      </c>
      <c r="G27" s="14">
        <f>I27-0</f>
        <v>0</v>
      </c>
      <c r="H27" s="14">
        <v>34020</v>
      </c>
      <c r="I27" s="14">
        <v>0</v>
      </c>
      <c r="J27" s="15">
        <f t="shared" si="2"/>
        <v>24080</v>
      </c>
    </row>
    <row r="28" spans="1:10" ht="15" customHeight="1">
      <c r="A28" s="3">
        <v>8</v>
      </c>
      <c r="B28" s="4">
        <v>243</v>
      </c>
      <c r="C28" s="5" t="s">
        <v>45</v>
      </c>
      <c r="D28" s="8">
        <v>682100</v>
      </c>
      <c r="E28" s="8">
        <v>823905.19</v>
      </c>
      <c r="F28" s="14">
        <f>H28-218940.9</f>
        <v>154818.13999999998</v>
      </c>
      <c r="G28" s="14">
        <f>I28-63787.04</f>
        <v>119597.63999999998</v>
      </c>
      <c r="H28" s="14">
        <v>373759.04</v>
      </c>
      <c r="I28" s="14">
        <v>183384.68</v>
      </c>
      <c r="J28" s="15">
        <f t="shared" si="2"/>
        <v>450146.14999999997</v>
      </c>
    </row>
    <row r="29" spans="1:10" ht="15" customHeight="1">
      <c r="A29" s="3">
        <v>8</v>
      </c>
      <c r="B29" s="4">
        <v>244</v>
      </c>
      <c r="C29" s="5" t="s">
        <v>46</v>
      </c>
      <c r="D29" s="8">
        <v>5740000</v>
      </c>
      <c r="E29" s="8">
        <v>6085632.8</v>
      </c>
      <c r="F29" s="14">
        <f>H29-1787700.07</f>
        <v>1009976.3400000001</v>
      </c>
      <c r="G29" s="14">
        <f>I29-625525.54</f>
        <v>857007.3799999999</v>
      </c>
      <c r="H29" s="14">
        <v>2797676.41</v>
      </c>
      <c r="I29" s="14">
        <v>1482532.92</v>
      </c>
      <c r="J29" s="15">
        <f t="shared" si="2"/>
        <v>3287956.3899999997</v>
      </c>
    </row>
    <row r="30" spans="1:10" ht="15" customHeight="1">
      <c r="A30" s="3">
        <v>8</v>
      </c>
      <c r="B30" s="4">
        <v>306</v>
      </c>
      <c r="C30" s="5" t="s">
        <v>47</v>
      </c>
      <c r="D30" s="8">
        <v>1044400</v>
      </c>
      <c r="E30" s="8">
        <v>1567310</v>
      </c>
      <c r="F30" s="14">
        <f>H30-159495.13</f>
        <v>154062.45</v>
      </c>
      <c r="G30" s="14">
        <f>I30-70973.44</f>
        <v>71278.69</v>
      </c>
      <c r="H30" s="14">
        <v>313557.58</v>
      </c>
      <c r="I30" s="14">
        <v>142252.13</v>
      </c>
      <c r="J30" s="15">
        <f t="shared" si="2"/>
        <v>1253752.42</v>
      </c>
    </row>
    <row r="31" spans="1:10" ht="15" customHeight="1">
      <c r="A31" s="3">
        <v>8</v>
      </c>
      <c r="B31" s="4">
        <v>333</v>
      </c>
      <c r="C31" s="5" t="s">
        <v>48</v>
      </c>
      <c r="D31" s="8">
        <v>67000</v>
      </c>
      <c r="E31" s="8">
        <v>67000</v>
      </c>
      <c r="F31" s="14">
        <f>H31-507</f>
        <v>0</v>
      </c>
      <c r="G31" s="14">
        <f>I31-507</f>
        <v>0</v>
      </c>
      <c r="H31" s="14">
        <v>507</v>
      </c>
      <c r="I31" s="14">
        <v>507</v>
      </c>
      <c r="J31" s="15">
        <f t="shared" si="2"/>
        <v>66493</v>
      </c>
    </row>
    <row r="32" spans="1:10" ht="15" customHeight="1">
      <c r="A32" s="3">
        <v>8</v>
      </c>
      <c r="B32" s="4">
        <v>482</v>
      </c>
      <c r="C32" s="5" t="s">
        <v>49</v>
      </c>
      <c r="D32" s="8">
        <v>1109100</v>
      </c>
      <c r="E32" s="8">
        <v>1130700</v>
      </c>
      <c r="F32" s="14">
        <f>H32-41400</f>
        <v>34800</v>
      </c>
      <c r="G32" s="14">
        <f>I32-20400</f>
        <v>55800</v>
      </c>
      <c r="H32" s="14">
        <v>76200</v>
      </c>
      <c r="I32" s="14">
        <v>76200</v>
      </c>
      <c r="J32" s="15">
        <f t="shared" si="2"/>
        <v>1054500</v>
      </c>
    </row>
    <row r="33" spans="1:10" ht="15" customHeight="1">
      <c r="A33" s="3">
        <v>9</v>
      </c>
      <c r="B33" s="4">
        <v>0</v>
      </c>
      <c r="C33" s="5" t="s">
        <v>50</v>
      </c>
      <c r="D33" s="6">
        <f aca="true" t="shared" si="6" ref="D33:J33">SUM(D34)</f>
        <v>2408200</v>
      </c>
      <c r="E33" s="6">
        <f t="shared" si="6"/>
        <v>2408200</v>
      </c>
      <c r="F33" s="6">
        <f t="shared" si="6"/>
        <v>333381.05000000005</v>
      </c>
      <c r="G33" s="6">
        <f t="shared" si="6"/>
        <v>333381.05000000005</v>
      </c>
      <c r="H33" s="6">
        <f t="shared" si="6"/>
        <v>665300.05</v>
      </c>
      <c r="I33" s="6">
        <f t="shared" si="6"/>
        <v>665300.05</v>
      </c>
      <c r="J33" s="7">
        <f t="shared" si="6"/>
        <v>1742899.95</v>
      </c>
    </row>
    <row r="34" spans="1:10" ht="15" customHeight="1">
      <c r="A34" s="3">
        <v>9</v>
      </c>
      <c r="B34" s="4">
        <v>272</v>
      </c>
      <c r="C34" s="5" t="s">
        <v>28</v>
      </c>
      <c r="D34" s="8">
        <v>2408200</v>
      </c>
      <c r="E34" s="8">
        <v>2408200</v>
      </c>
      <c r="F34" s="14">
        <f>H34-331919</f>
        <v>333381.05000000005</v>
      </c>
      <c r="G34" s="14">
        <f>I34-331919</f>
        <v>333381.05000000005</v>
      </c>
      <c r="H34" s="14">
        <v>665300.05</v>
      </c>
      <c r="I34" s="14">
        <v>665300.05</v>
      </c>
      <c r="J34" s="15">
        <f t="shared" si="2"/>
        <v>1742899.95</v>
      </c>
    </row>
    <row r="35" spans="1:10" ht="15" customHeight="1">
      <c r="A35" s="3">
        <v>10</v>
      </c>
      <c r="B35" s="4">
        <v>0</v>
      </c>
      <c r="C35" s="5" t="s">
        <v>51</v>
      </c>
      <c r="D35" s="6">
        <f aca="true" t="shared" si="7" ref="D35:J35">SUM(D36:D40)</f>
        <v>46778700</v>
      </c>
      <c r="E35" s="6">
        <f t="shared" si="7"/>
        <v>51827605.54</v>
      </c>
      <c r="F35" s="6">
        <f t="shared" si="7"/>
        <v>5374862.029999999</v>
      </c>
      <c r="G35" s="6">
        <f t="shared" si="7"/>
        <v>8440929.52</v>
      </c>
      <c r="H35" s="6">
        <f t="shared" si="7"/>
        <v>27324617.269999996</v>
      </c>
      <c r="I35" s="6">
        <f t="shared" si="7"/>
        <v>14216982.27</v>
      </c>
      <c r="J35" s="7">
        <f t="shared" si="7"/>
        <v>24502988.27</v>
      </c>
    </row>
    <row r="36" spans="1:10" ht="15" customHeight="1">
      <c r="A36" s="3">
        <v>10</v>
      </c>
      <c r="B36" s="4">
        <v>301</v>
      </c>
      <c r="C36" s="5" t="s">
        <v>52</v>
      </c>
      <c r="D36" s="8">
        <v>26635700</v>
      </c>
      <c r="E36" s="8">
        <v>29368762.63</v>
      </c>
      <c r="F36" s="14">
        <f>H36-6299530.51</f>
        <v>4761516.529999999</v>
      </c>
      <c r="G36" s="14">
        <f>I36-3468440.81</f>
        <v>4756963.5</v>
      </c>
      <c r="H36" s="14">
        <v>11061047.04</v>
      </c>
      <c r="I36" s="14">
        <v>8225404.31</v>
      </c>
      <c r="J36" s="15">
        <f t="shared" si="2"/>
        <v>18307715.59</v>
      </c>
    </row>
    <row r="37" spans="1:10" ht="15" customHeight="1">
      <c r="A37" s="3">
        <v>10</v>
      </c>
      <c r="B37" s="4">
        <v>302</v>
      </c>
      <c r="C37" s="5" t="s">
        <v>53</v>
      </c>
      <c r="D37" s="8">
        <v>17396600</v>
      </c>
      <c r="E37" s="8">
        <v>19591458.75</v>
      </c>
      <c r="F37" s="14">
        <f>H37-15134074.52</f>
        <v>225815.09999999963</v>
      </c>
      <c r="G37" s="14">
        <f>I37-1993910.5</f>
        <v>3243264.95</v>
      </c>
      <c r="H37" s="14">
        <v>15359889.62</v>
      </c>
      <c r="I37" s="14">
        <v>5237175.45</v>
      </c>
      <c r="J37" s="15">
        <f t="shared" si="2"/>
        <v>4231569.130000001</v>
      </c>
    </row>
    <row r="38" spans="1:10" ht="15" customHeight="1">
      <c r="A38" s="3">
        <v>10</v>
      </c>
      <c r="B38" s="4">
        <v>304</v>
      </c>
      <c r="C38" s="5" t="s">
        <v>54</v>
      </c>
      <c r="D38" s="8">
        <v>1438200</v>
      </c>
      <c r="E38" s="8">
        <v>1464578.45</v>
      </c>
      <c r="F38" s="14">
        <f>H38-242232.96</f>
        <v>184417.58</v>
      </c>
      <c r="G38" s="14">
        <f>I38-162820.45</f>
        <v>213713.81</v>
      </c>
      <c r="H38" s="14">
        <v>426650.54</v>
      </c>
      <c r="I38" s="14">
        <v>376534.26</v>
      </c>
      <c r="J38" s="15">
        <f t="shared" si="2"/>
        <v>1037927.9099999999</v>
      </c>
    </row>
    <row r="39" spans="1:10" ht="15" customHeight="1">
      <c r="A39" s="3">
        <v>10</v>
      </c>
      <c r="B39" s="4">
        <v>305</v>
      </c>
      <c r="C39" s="5" t="s">
        <v>55</v>
      </c>
      <c r="D39" s="8">
        <v>1274700</v>
      </c>
      <c r="E39" s="8">
        <v>1369305.71</v>
      </c>
      <c r="F39" s="14">
        <f>H39-268961.25</f>
        <v>198156.82</v>
      </c>
      <c r="G39" s="14">
        <f>I39-145924.99</f>
        <v>222031.26</v>
      </c>
      <c r="H39" s="14">
        <v>467118.07</v>
      </c>
      <c r="I39" s="14">
        <v>367956.25</v>
      </c>
      <c r="J39" s="15">
        <f t="shared" si="2"/>
        <v>902187.6399999999</v>
      </c>
    </row>
    <row r="40" spans="1:10" ht="15" customHeight="1">
      <c r="A40" s="3">
        <v>10</v>
      </c>
      <c r="B40" s="4">
        <v>512</v>
      </c>
      <c r="C40" s="5" t="s">
        <v>56</v>
      </c>
      <c r="D40" s="8">
        <v>33500</v>
      </c>
      <c r="E40" s="8">
        <v>33500</v>
      </c>
      <c r="F40" s="14">
        <f>H40-4956</f>
        <v>4956</v>
      </c>
      <c r="G40" s="14">
        <f>I40-4956</f>
        <v>4956</v>
      </c>
      <c r="H40" s="14">
        <v>9912</v>
      </c>
      <c r="I40" s="14">
        <v>9912</v>
      </c>
      <c r="J40" s="15">
        <f t="shared" si="2"/>
        <v>23588</v>
      </c>
    </row>
    <row r="41" spans="1:10" ht="15" customHeight="1">
      <c r="A41" s="3">
        <v>12</v>
      </c>
      <c r="B41" s="4">
        <v>0</v>
      </c>
      <c r="C41" s="5" t="s">
        <v>57</v>
      </c>
      <c r="D41" s="6">
        <f aca="true" t="shared" si="8" ref="D41:J41">SUM(D42:D47)</f>
        <v>57521300</v>
      </c>
      <c r="E41" s="6">
        <f t="shared" si="8"/>
        <v>62674400.22</v>
      </c>
      <c r="F41" s="6">
        <f t="shared" si="8"/>
        <v>11871817.130000003</v>
      </c>
      <c r="G41" s="6">
        <f t="shared" si="8"/>
        <v>9673167.239999998</v>
      </c>
      <c r="H41" s="6">
        <f t="shared" si="8"/>
        <v>25774683.090000004</v>
      </c>
      <c r="I41" s="6">
        <f t="shared" si="8"/>
        <v>15163707.18</v>
      </c>
      <c r="J41" s="7">
        <f t="shared" si="8"/>
        <v>36899717.13</v>
      </c>
    </row>
    <row r="42" spans="1:10" ht="15" customHeight="1">
      <c r="A42" s="3">
        <v>12</v>
      </c>
      <c r="B42" s="4">
        <v>361</v>
      </c>
      <c r="C42" s="5" t="s">
        <v>58</v>
      </c>
      <c r="D42" s="8">
        <v>38150400</v>
      </c>
      <c r="E42" s="8">
        <v>41185870.63</v>
      </c>
      <c r="F42" s="14">
        <f>H42-9148631.59</f>
        <v>7604969.98</v>
      </c>
      <c r="G42" s="14">
        <f>I42-3713226.27</f>
        <v>6311389.120000001</v>
      </c>
      <c r="H42" s="14">
        <v>16753601.57</v>
      </c>
      <c r="I42" s="14">
        <v>10024615.39</v>
      </c>
      <c r="J42" s="15">
        <f t="shared" si="2"/>
        <v>24432269.060000002</v>
      </c>
    </row>
    <row r="43" spans="1:10" ht="15" customHeight="1">
      <c r="A43" s="3">
        <v>12</v>
      </c>
      <c r="B43" s="4">
        <v>362</v>
      </c>
      <c r="C43" s="5" t="s">
        <v>59</v>
      </c>
      <c r="D43" s="8">
        <v>329000</v>
      </c>
      <c r="E43" s="8">
        <v>373520</v>
      </c>
      <c r="F43" s="14">
        <f>H43-60000</f>
        <v>0</v>
      </c>
      <c r="G43" s="14">
        <f>I43-0</f>
        <v>0</v>
      </c>
      <c r="H43" s="14">
        <v>60000</v>
      </c>
      <c r="I43" s="14">
        <v>0</v>
      </c>
      <c r="J43" s="15">
        <f t="shared" si="2"/>
        <v>313520</v>
      </c>
    </row>
    <row r="44" spans="1:10" ht="15" customHeight="1">
      <c r="A44" s="3">
        <v>12</v>
      </c>
      <c r="B44" s="4">
        <v>363</v>
      </c>
      <c r="C44" s="5" t="s">
        <v>60</v>
      </c>
      <c r="D44" s="8">
        <v>140000</v>
      </c>
      <c r="E44" s="8">
        <v>204200</v>
      </c>
      <c r="F44" s="14">
        <f>H44-51240.08</f>
        <v>70329.94</v>
      </c>
      <c r="G44" s="14">
        <f>I44-10583.3</f>
        <v>23975.390000000003</v>
      </c>
      <c r="H44" s="14">
        <v>121570.02</v>
      </c>
      <c r="I44" s="14">
        <v>34558.69</v>
      </c>
      <c r="J44" s="15">
        <f t="shared" si="2"/>
        <v>82629.98</v>
      </c>
    </row>
    <row r="45" spans="1:10" ht="15" customHeight="1">
      <c r="A45" s="3">
        <v>12</v>
      </c>
      <c r="B45" s="4">
        <v>365</v>
      </c>
      <c r="C45" s="5" t="s">
        <v>61</v>
      </c>
      <c r="D45" s="8">
        <v>17213300</v>
      </c>
      <c r="E45" s="8">
        <v>19074422.04</v>
      </c>
      <c r="F45" s="14">
        <f>H45-3960387.78</f>
        <v>3980699.2500000005</v>
      </c>
      <c r="G45" s="14">
        <f>I45-1593018.78</f>
        <v>3055160.2799999993</v>
      </c>
      <c r="H45" s="14">
        <v>7941087.03</v>
      </c>
      <c r="I45" s="14">
        <v>4648179.06</v>
      </c>
      <c r="J45" s="15">
        <f t="shared" si="2"/>
        <v>11133335.009999998</v>
      </c>
    </row>
    <row r="46" spans="1:10" ht="15" customHeight="1">
      <c r="A46" s="3">
        <v>12</v>
      </c>
      <c r="B46" s="4">
        <v>366</v>
      </c>
      <c r="C46" s="5" t="s">
        <v>62</v>
      </c>
      <c r="D46" s="8">
        <v>262000</v>
      </c>
      <c r="E46" s="8">
        <v>267760</v>
      </c>
      <c r="F46" s="14">
        <f>H46-0</f>
        <v>47308.3</v>
      </c>
      <c r="G46" s="14">
        <f>I46-0</f>
        <v>2484</v>
      </c>
      <c r="H46" s="14">
        <v>47308.3</v>
      </c>
      <c r="I46" s="14">
        <v>2484</v>
      </c>
      <c r="J46" s="15">
        <f t="shared" si="2"/>
        <v>220451.7</v>
      </c>
    </row>
    <row r="47" spans="1:10" ht="15" customHeight="1">
      <c r="A47" s="3">
        <v>12</v>
      </c>
      <c r="B47" s="4">
        <v>367</v>
      </c>
      <c r="C47" s="5" t="s">
        <v>63</v>
      </c>
      <c r="D47" s="8">
        <v>1426600</v>
      </c>
      <c r="E47" s="8">
        <v>1568627.55</v>
      </c>
      <c r="F47" s="14">
        <f>H47-682606.51</f>
        <v>168509.66000000003</v>
      </c>
      <c r="G47" s="14">
        <f>I47-173711.59</f>
        <v>280158.44999999995</v>
      </c>
      <c r="H47" s="14">
        <v>851116.17</v>
      </c>
      <c r="I47" s="14">
        <v>453870.04</v>
      </c>
      <c r="J47" s="15">
        <f t="shared" si="2"/>
        <v>717511.38</v>
      </c>
    </row>
    <row r="48" spans="1:10" ht="15" customHeight="1">
      <c r="A48" s="3">
        <v>13</v>
      </c>
      <c r="B48" s="4">
        <v>0</v>
      </c>
      <c r="C48" s="5" t="s">
        <v>64</v>
      </c>
      <c r="D48" s="6">
        <f aca="true" t="shared" si="9" ref="D48:J48">SUM(D49:D50)</f>
        <v>3404400</v>
      </c>
      <c r="E48" s="6">
        <f t="shared" si="9"/>
        <v>3461188.8</v>
      </c>
      <c r="F48" s="6">
        <f t="shared" si="9"/>
        <v>520928.2699999999</v>
      </c>
      <c r="G48" s="6">
        <f t="shared" si="9"/>
        <v>583595.84</v>
      </c>
      <c r="H48" s="6">
        <f t="shared" si="9"/>
        <v>1218304.15</v>
      </c>
      <c r="I48" s="6">
        <f t="shared" si="9"/>
        <v>891512.83</v>
      </c>
      <c r="J48" s="7">
        <f t="shared" si="9"/>
        <v>2242884.65</v>
      </c>
    </row>
    <row r="49" spans="1:10" ht="15" customHeight="1">
      <c r="A49" s="3">
        <v>13</v>
      </c>
      <c r="B49" s="4">
        <v>391</v>
      </c>
      <c r="C49" s="5" t="s">
        <v>65</v>
      </c>
      <c r="D49" s="8">
        <v>5000</v>
      </c>
      <c r="E49" s="8">
        <v>5000</v>
      </c>
      <c r="F49" s="14">
        <f>H49-0</f>
        <v>0</v>
      </c>
      <c r="G49" s="14">
        <f>I49-0</f>
        <v>0</v>
      </c>
      <c r="H49" s="14">
        <v>0</v>
      </c>
      <c r="I49" s="14">
        <v>0</v>
      </c>
      <c r="J49" s="15">
        <f t="shared" si="2"/>
        <v>5000</v>
      </c>
    </row>
    <row r="50" spans="1:10" ht="15" customHeight="1">
      <c r="A50" s="3">
        <v>13</v>
      </c>
      <c r="B50" s="4">
        <v>392</v>
      </c>
      <c r="C50" s="5" t="s">
        <v>66</v>
      </c>
      <c r="D50" s="8">
        <v>3399400</v>
      </c>
      <c r="E50" s="8">
        <v>3456188.8</v>
      </c>
      <c r="F50" s="14">
        <f>H50-697375.88</f>
        <v>520928.2699999999</v>
      </c>
      <c r="G50" s="14">
        <f>I50-307916.99</f>
        <v>583595.84</v>
      </c>
      <c r="H50" s="14">
        <v>1218304.15</v>
      </c>
      <c r="I50" s="14">
        <v>891512.83</v>
      </c>
      <c r="J50" s="15">
        <f t="shared" si="2"/>
        <v>2237884.65</v>
      </c>
    </row>
    <row r="51" spans="1:10" ht="15" customHeight="1">
      <c r="A51" s="3">
        <v>14</v>
      </c>
      <c r="B51" s="4">
        <v>0</v>
      </c>
      <c r="C51" s="5" t="s">
        <v>67</v>
      </c>
      <c r="D51" s="6">
        <f aca="true" t="shared" si="10" ref="D51:J51">SUM(D52)</f>
        <v>572000</v>
      </c>
      <c r="E51" s="6">
        <f t="shared" si="10"/>
        <v>628220.42</v>
      </c>
      <c r="F51" s="6">
        <f t="shared" si="10"/>
        <v>104141.77</v>
      </c>
      <c r="G51" s="6">
        <f t="shared" si="10"/>
        <v>70550.59</v>
      </c>
      <c r="H51" s="6">
        <f t="shared" si="10"/>
        <v>202558.32</v>
      </c>
      <c r="I51" s="6">
        <f t="shared" si="10"/>
        <v>107732.67</v>
      </c>
      <c r="J51" s="7">
        <f t="shared" si="10"/>
        <v>425662.10000000003</v>
      </c>
    </row>
    <row r="52" spans="1:10" ht="15" customHeight="1">
      <c r="A52" s="3">
        <v>14</v>
      </c>
      <c r="B52" s="4">
        <v>422</v>
      </c>
      <c r="C52" s="5" t="s">
        <v>68</v>
      </c>
      <c r="D52" s="8">
        <v>572000</v>
      </c>
      <c r="E52" s="8">
        <v>628220.42</v>
      </c>
      <c r="F52" s="14">
        <f>H52-98416.55</f>
        <v>104141.77</v>
      </c>
      <c r="G52" s="14">
        <f>I52-37182.08</f>
        <v>70550.59</v>
      </c>
      <c r="H52" s="14">
        <v>202558.32</v>
      </c>
      <c r="I52" s="14">
        <v>107732.67</v>
      </c>
      <c r="J52" s="15">
        <f t="shared" si="2"/>
        <v>425662.10000000003</v>
      </c>
    </row>
    <row r="53" spans="1:10" ht="15" customHeight="1">
      <c r="A53" s="3">
        <v>15</v>
      </c>
      <c r="B53" s="4">
        <v>0</v>
      </c>
      <c r="C53" s="5" t="s">
        <v>69</v>
      </c>
      <c r="D53" s="6">
        <f aca="true" t="shared" si="11" ref="D53:J53">SUM(D54:D56)</f>
        <v>43631900</v>
      </c>
      <c r="E53" s="6">
        <f t="shared" si="11"/>
        <v>46369834.61</v>
      </c>
      <c r="F53" s="6">
        <f t="shared" si="11"/>
        <v>7982506.69</v>
      </c>
      <c r="G53" s="6">
        <f t="shared" si="11"/>
        <v>5794343.47</v>
      </c>
      <c r="H53" s="6">
        <f t="shared" si="11"/>
        <v>18730572.53</v>
      </c>
      <c r="I53" s="6">
        <f t="shared" si="11"/>
        <v>8960986.839999998</v>
      </c>
      <c r="J53" s="7">
        <f t="shared" si="11"/>
        <v>27639262.08</v>
      </c>
    </row>
    <row r="54" spans="1:10" ht="15" customHeight="1">
      <c r="A54" s="3">
        <v>15</v>
      </c>
      <c r="B54" s="4">
        <v>451</v>
      </c>
      <c r="C54" s="5" t="s">
        <v>70</v>
      </c>
      <c r="D54" s="8">
        <v>31117300</v>
      </c>
      <c r="E54" s="8">
        <v>33478234.61</v>
      </c>
      <c r="F54" s="14">
        <f>H54-9104286.41</f>
        <v>7390191.23</v>
      </c>
      <c r="G54" s="14">
        <f>I54-2693232.13</f>
        <v>5283398.84</v>
      </c>
      <c r="H54" s="14">
        <v>16494477.64</v>
      </c>
      <c r="I54" s="14">
        <v>7976630.97</v>
      </c>
      <c r="J54" s="15">
        <f t="shared" si="2"/>
        <v>16983756.97</v>
      </c>
    </row>
    <row r="55" spans="1:10" ht="15" customHeight="1">
      <c r="A55" s="3">
        <v>15</v>
      </c>
      <c r="B55" s="4">
        <v>452</v>
      </c>
      <c r="C55" s="5" t="s">
        <v>71</v>
      </c>
      <c r="D55" s="8">
        <v>3040000</v>
      </c>
      <c r="E55" s="8">
        <v>3417000</v>
      </c>
      <c r="F55" s="14">
        <f>H55-511500</f>
        <v>510000</v>
      </c>
      <c r="G55" s="14">
        <f>I55-242585.87</f>
        <v>510944.63</v>
      </c>
      <c r="H55" s="14">
        <v>1021500</v>
      </c>
      <c r="I55" s="14">
        <v>753530.5</v>
      </c>
      <c r="J55" s="15">
        <f t="shared" si="2"/>
        <v>2395500</v>
      </c>
    </row>
    <row r="56" spans="1:10" ht="15" customHeight="1">
      <c r="A56" s="3">
        <v>15</v>
      </c>
      <c r="B56" s="4">
        <v>512</v>
      </c>
      <c r="C56" s="5" t="s">
        <v>56</v>
      </c>
      <c r="D56" s="8">
        <v>9474600</v>
      </c>
      <c r="E56" s="8">
        <v>9474600</v>
      </c>
      <c r="F56" s="14">
        <f>H56-1132279.43</f>
        <v>82315.45999999996</v>
      </c>
      <c r="G56" s="14">
        <f>I56-230825.37</f>
        <v>0</v>
      </c>
      <c r="H56" s="14">
        <v>1214594.89</v>
      </c>
      <c r="I56" s="14">
        <v>230825.37</v>
      </c>
      <c r="J56" s="15">
        <f t="shared" si="2"/>
        <v>8260005.11</v>
      </c>
    </row>
    <row r="57" spans="1:10" ht="15" customHeight="1">
      <c r="A57" s="3">
        <v>17</v>
      </c>
      <c r="B57" s="4">
        <v>0</v>
      </c>
      <c r="C57" s="5" t="s">
        <v>72</v>
      </c>
      <c r="D57" s="6">
        <f aca="true" t="shared" si="12" ref="D57:J57">SUM(D58)</f>
        <v>27928057</v>
      </c>
      <c r="E57" s="6">
        <f t="shared" si="12"/>
        <v>28388057</v>
      </c>
      <c r="F57" s="6">
        <f t="shared" si="12"/>
        <v>4252935.98</v>
      </c>
      <c r="G57" s="6">
        <f t="shared" si="12"/>
        <v>5071907.29</v>
      </c>
      <c r="H57" s="6">
        <f t="shared" si="12"/>
        <v>15616133.71</v>
      </c>
      <c r="I57" s="6">
        <f t="shared" si="12"/>
        <v>9101511.51</v>
      </c>
      <c r="J57" s="7">
        <f t="shared" si="12"/>
        <v>12771923.29</v>
      </c>
    </row>
    <row r="58" spans="1:10" ht="15" customHeight="1">
      <c r="A58" s="3">
        <v>17</v>
      </c>
      <c r="B58" s="4">
        <v>512</v>
      </c>
      <c r="C58" s="5" t="s">
        <v>56</v>
      </c>
      <c r="D58" s="8">
        <v>27928057</v>
      </c>
      <c r="E58" s="8">
        <v>28388057</v>
      </c>
      <c r="F58" s="14">
        <v>4252935.98</v>
      </c>
      <c r="G58" s="14">
        <v>5071907.29</v>
      </c>
      <c r="H58" s="14">
        <v>15616133.71</v>
      </c>
      <c r="I58" s="14">
        <v>9101511.51</v>
      </c>
      <c r="J58" s="15">
        <f t="shared" si="2"/>
        <v>12771923.29</v>
      </c>
    </row>
    <row r="59" spans="1:10" ht="15" customHeight="1">
      <c r="A59" s="3">
        <v>18</v>
      </c>
      <c r="B59" s="4">
        <v>0</v>
      </c>
      <c r="C59" s="5" t="s">
        <v>73</v>
      </c>
      <c r="D59" s="6">
        <f aca="true" t="shared" si="13" ref="D59:J59">SUM(D60)</f>
        <v>5000</v>
      </c>
      <c r="E59" s="6">
        <f t="shared" si="13"/>
        <v>5000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7">
        <f t="shared" si="13"/>
        <v>5000</v>
      </c>
    </row>
    <row r="60" spans="1:10" ht="15" customHeight="1">
      <c r="A60" s="3">
        <v>18</v>
      </c>
      <c r="B60" s="4">
        <v>541</v>
      </c>
      <c r="C60" s="5" t="s">
        <v>74</v>
      </c>
      <c r="D60" s="8">
        <v>5000</v>
      </c>
      <c r="E60" s="8">
        <v>5000</v>
      </c>
      <c r="F60" s="14">
        <f>H60-0</f>
        <v>0</v>
      </c>
      <c r="G60" s="14">
        <f>I60-0</f>
        <v>0</v>
      </c>
      <c r="H60" s="14">
        <v>0</v>
      </c>
      <c r="I60" s="14">
        <v>0</v>
      </c>
      <c r="J60" s="15">
        <f t="shared" si="2"/>
        <v>5000</v>
      </c>
    </row>
    <row r="61" spans="1:10" ht="15" customHeight="1">
      <c r="A61" s="3">
        <v>20</v>
      </c>
      <c r="B61" s="4">
        <v>0</v>
      </c>
      <c r="C61" s="5" t="s">
        <v>75</v>
      </c>
      <c r="D61" s="6">
        <f aca="true" t="shared" si="14" ref="D61:J61">SUM(D62:D64)</f>
        <v>3743200</v>
      </c>
      <c r="E61" s="6">
        <f t="shared" si="14"/>
        <v>4096664.59</v>
      </c>
      <c r="F61" s="6">
        <f t="shared" si="14"/>
        <v>823610.0800000001</v>
      </c>
      <c r="G61" s="6">
        <f t="shared" si="14"/>
        <v>572815.03</v>
      </c>
      <c r="H61" s="6">
        <f t="shared" si="14"/>
        <v>1708915.59</v>
      </c>
      <c r="I61" s="6">
        <f t="shared" si="14"/>
        <v>1381735.04</v>
      </c>
      <c r="J61" s="7">
        <f t="shared" si="14"/>
        <v>2387749</v>
      </c>
    </row>
    <row r="62" spans="1:10" ht="15" customHeight="1">
      <c r="A62" s="3">
        <v>20</v>
      </c>
      <c r="B62" s="4">
        <v>601</v>
      </c>
      <c r="C62" s="5" t="s">
        <v>76</v>
      </c>
      <c r="D62" s="8">
        <v>3000</v>
      </c>
      <c r="E62" s="8">
        <v>3000</v>
      </c>
      <c r="F62" s="14">
        <f>H62-0</f>
        <v>0</v>
      </c>
      <c r="G62" s="14">
        <f>I62-0</f>
        <v>0</v>
      </c>
      <c r="H62" s="14">
        <v>0</v>
      </c>
      <c r="I62" s="14">
        <v>0</v>
      </c>
      <c r="J62" s="15">
        <f t="shared" si="2"/>
        <v>3000</v>
      </c>
    </row>
    <row r="63" spans="1:10" ht="15" customHeight="1">
      <c r="A63" s="3">
        <v>20</v>
      </c>
      <c r="B63" s="4">
        <v>602</v>
      </c>
      <c r="C63" s="5" t="s">
        <v>77</v>
      </c>
      <c r="D63" s="8">
        <v>3000</v>
      </c>
      <c r="E63" s="8">
        <v>3000</v>
      </c>
      <c r="F63" s="14">
        <f>H63-0</f>
        <v>0</v>
      </c>
      <c r="G63" s="14">
        <f>I63-0</f>
        <v>0</v>
      </c>
      <c r="H63" s="14">
        <v>0</v>
      </c>
      <c r="I63" s="14">
        <v>0</v>
      </c>
      <c r="J63" s="15">
        <f t="shared" si="2"/>
        <v>3000</v>
      </c>
    </row>
    <row r="64" spans="1:10" ht="15" customHeight="1">
      <c r="A64" s="3">
        <v>20</v>
      </c>
      <c r="B64" s="4">
        <v>605</v>
      </c>
      <c r="C64" s="5" t="s">
        <v>78</v>
      </c>
      <c r="D64" s="8">
        <v>3737200</v>
      </c>
      <c r="E64" s="8">
        <v>4090664.59</v>
      </c>
      <c r="F64" s="14">
        <f>H64-885305.51</f>
        <v>823610.0800000001</v>
      </c>
      <c r="G64" s="14">
        <f>I64-808920.01</f>
        <v>572815.03</v>
      </c>
      <c r="H64" s="14">
        <v>1708915.59</v>
      </c>
      <c r="I64" s="14">
        <v>1381735.04</v>
      </c>
      <c r="J64" s="15">
        <f t="shared" si="2"/>
        <v>2381749</v>
      </c>
    </row>
    <row r="65" spans="1:10" ht="15" customHeight="1">
      <c r="A65" s="3">
        <v>23</v>
      </c>
      <c r="B65" s="4">
        <v>0</v>
      </c>
      <c r="C65" s="5" t="s">
        <v>79</v>
      </c>
      <c r="D65" s="6">
        <f aca="true" t="shared" si="15" ref="D65:J65">SUM(D66:D67)</f>
        <v>10546000</v>
      </c>
      <c r="E65" s="6">
        <f t="shared" si="15"/>
        <v>10832647.809999999</v>
      </c>
      <c r="F65" s="6">
        <f t="shared" si="15"/>
        <v>479300.22999999975</v>
      </c>
      <c r="G65" s="6">
        <f t="shared" si="15"/>
        <v>1402730.53</v>
      </c>
      <c r="H65" s="6">
        <f t="shared" si="15"/>
        <v>4351156.48</v>
      </c>
      <c r="I65" s="6">
        <f t="shared" si="15"/>
        <v>2164157.47</v>
      </c>
      <c r="J65" s="7">
        <f t="shared" si="15"/>
        <v>6481491.33</v>
      </c>
    </row>
    <row r="66" spans="1:10" ht="15" customHeight="1">
      <c r="A66" s="3">
        <v>23</v>
      </c>
      <c r="B66" s="4">
        <v>691</v>
      </c>
      <c r="C66" s="5" t="s">
        <v>80</v>
      </c>
      <c r="D66" s="8">
        <v>5310800</v>
      </c>
      <c r="E66" s="8">
        <v>5343187.96</v>
      </c>
      <c r="F66" s="14">
        <f>H66-2343924.95</f>
        <v>286280.2799999998</v>
      </c>
      <c r="G66" s="14">
        <f>I66-670098.53</f>
        <v>1218694.05</v>
      </c>
      <c r="H66" s="14">
        <v>2630205.23</v>
      </c>
      <c r="I66" s="14">
        <v>1888792.58</v>
      </c>
      <c r="J66" s="15">
        <f t="shared" si="2"/>
        <v>2712982.73</v>
      </c>
    </row>
    <row r="67" spans="1:10" ht="15" customHeight="1">
      <c r="A67" s="3">
        <v>23</v>
      </c>
      <c r="B67" s="4">
        <v>695</v>
      </c>
      <c r="C67" s="5" t="s">
        <v>81</v>
      </c>
      <c r="D67" s="8">
        <v>5235200</v>
      </c>
      <c r="E67" s="8">
        <v>5489459.85</v>
      </c>
      <c r="F67" s="14">
        <f>H67-1527931.3</f>
        <v>193019.94999999995</v>
      </c>
      <c r="G67" s="14">
        <f>I67-91328.41</f>
        <v>184036.48</v>
      </c>
      <c r="H67" s="14">
        <v>1720951.25</v>
      </c>
      <c r="I67" s="14">
        <v>275364.89</v>
      </c>
      <c r="J67" s="15">
        <f t="shared" si="2"/>
        <v>3768508.5999999996</v>
      </c>
    </row>
    <row r="68" spans="1:10" ht="15" customHeight="1">
      <c r="A68" s="3">
        <v>24</v>
      </c>
      <c r="B68" s="4">
        <v>0</v>
      </c>
      <c r="C68" s="5" t="s">
        <v>82</v>
      </c>
      <c r="D68" s="6">
        <f aca="true" t="shared" si="16" ref="D68:J68">SUM(D69)</f>
        <v>1187500</v>
      </c>
      <c r="E68" s="6">
        <f t="shared" si="16"/>
        <v>2294528.08</v>
      </c>
      <c r="F68" s="6">
        <f t="shared" si="16"/>
        <v>229196.06</v>
      </c>
      <c r="G68" s="6">
        <f t="shared" si="16"/>
        <v>215901.69999999998</v>
      </c>
      <c r="H68" s="6">
        <f t="shared" si="16"/>
        <v>470780.31</v>
      </c>
      <c r="I68" s="6">
        <f t="shared" si="16"/>
        <v>365952.92</v>
      </c>
      <c r="J68" s="7">
        <f t="shared" si="16"/>
        <v>1823747.77</v>
      </c>
    </row>
    <row r="69" spans="1:10" ht="15" customHeight="1">
      <c r="A69" s="3">
        <v>24</v>
      </c>
      <c r="B69" s="4">
        <v>131</v>
      </c>
      <c r="C69" s="5" t="s">
        <v>38</v>
      </c>
      <c r="D69" s="8">
        <v>1187500</v>
      </c>
      <c r="E69" s="8">
        <v>2294528.08</v>
      </c>
      <c r="F69" s="14">
        <f>H69-241584.25</f>
        <v>229196.06</v>
      </c>
      <c r="G69" s="14">
        <f>I69-150051.22</f>
        <v>215901.69999999998</v>
      </c>
      <c r="H69" s="14">
        <v>470780.31</v>
      </c>
      <c r="I69" s="14">
        <v>365952.92</v>
      </c>
      <c r="J69" s="15">
        <f t="shared" si="2"/>
        <v>1823747.77</v>
      </c>
    </row>
    <row r="70" spans="1:10" ht="15" customHeight="1">
      <c r="A70" s="3">
        <v>26</v>
      </c>
      <c r="B70" s="4">
        <v>0</v>
      </c>
      <c r="C70" s="5" t="s">
        <v>83</v>
      </c>
      <c r="D70" s="6">
        <f aca="true" t="shared" si="17" ref="D70:J70">SUM(D71)</f>
        <v>8807600</v>
      </c>
      <c r="E70" s="6">
        <f t="shared" si="17"/>
        <v>9550473.69</v>
      </c>
      <c r="F70" s="6">
        <f t="shared" si="17"/>
        <v>1080596.1400000001</v>
      </c>
      <c r="G70" s="6">
        <f t="shared" si="17"/>
        <v>1563264.1700000002</v>
      </c>
      <c r="H70" s="6">
        <f t="shared" si="17"/>
        <v>4229805.5</v>
      </c>
      <c r="I70" s="6">
        <f t="shared" si="17"/>
        <v>2477825.45</v>
      </c>
      <c r="J70" s="7">
        <f t="shared" si="17"/>
        <v>5320668.1899999995</v>
      </c>
    </row>
    <row r="71" spans="1:10" ht="15" customHeight="1">
      <c r="A71" s="3">
        <v>26</v>
      </c>
      <c r="B71" s="4">
        <v>782</v>
      </c>
      <c r="C71" s="5" t="s">
        <v>84</v>
      </c>
      <c r="D71" s="8">
        <v>8807600</v>
      </c>
      <c r="E71" s="8">
        <v>9550473.69</v>
      </c>
      <c r="F71" s="14">
        <f>H71-3149209.36</f>
        <v>1080596.1400000001</v>
      </c>
      <c r="G71" s="14">
        <f>I71-914561.28</f>
        <v>1563264.1700000002</v>
      </c>
      <c r="H71" s="14">
        <v>4229805.5</v>
      </c>
      <c r="I71" s="14">
        <v>2477825.45</v>
      </c>
      <c r="J71" s="15">
        <f t="shared" si="2"/>
        <v>5320668.1899999995</v>
      </c>
    </row>
    <row r="72" spans="1:10" ht="15" customHeight="1">
      <c r="A72" s="3">
        <v>27</v>
      </c>
      <c r="B72" s="4">
        <v>0</v>
      </c>
      <c r="C72" s="5" t="s">
        <v>85</v>
      </c>
      <c r="D72" s="6">
        <f aca="true" t="shared" si="18" ref="D72:J72">SUM(D73:D74)</f>
        <v>4080200</v>
      </c>
      <c r="E72" s="6">
        <f t="shared" si="18"/>
        <v>4686861.81</v>
      </c>
      <c r="F72" s="6">
        <f t="shared" si="18"/>
        <v>914739.7199999999</v>
      </c>
      <c r="G72" s="6">
        <f t="shared" si="18"/>
        <v>760331.46</v>
      </c>
      <c r="H72" s="6">
        <f t="shared" si="18"/>
        <v>1595166.4</v>
      </c>
      <c r="I72" s="6">
        <f t="shared" si="18"/>
        <v>1122601.02</v>
      </c>
      <c r="J72" s="7">
        <f t="shared" si="18"/>
        <v>3091695.4099999997</v>
      </c>
    </row>
    <row r="73" spans="1:10" ht="15" customHeight="1">
      <c r="A73" s="3">
        <v>27</v>
      </c>
      <c r="B73" s="4">
        <v>812</v>
      </c>
      <c r="C73" s="5" t="s">
        <v>86</v>
      </c>
      <c r="D73" s="8">
        <v>4077200</v>
      </c>
      <c r="E73" s="8">
        <v>4683861.81</v>
      </c>
      <c r="F73" s="14">
        <f>H73-680426.68</f>
        <v>914739.7199999999</v>
      </c>
      <c r="G73" s="14">
        <f>I73-362269.56</f>
        <v>760331.46</v>
      </c>
      <c r="H73" s="14">
        <v>1595166.4</v>
      </c>
      <c r="I73" s="14">
        <v>1122601.02</v>
      </c>
      <c r="J73" s="15">
        <f t="shared" si="2"/>
        <v>3088695.4099999997</v>
      </c>
    </row>
    <row r="74" spans="1:10" ht="15" customHeight="1">
      <c r="A74" s="3">
        <v>27</v>
      </c>
      <c r="B74" s="4">
        <v>813</v>
      </c>
      <c r="C74" s="5" t="s">
        <v>87</v>
      </c>
      <c r="D74" s="8">
        <v>3000</v>
      </c>
      <c r="E74" s="8">
        <v>3000</v>
      </c>
      <c r="F74" s="14">
        <f>H74-0</f>
        <v>0</v>
      </c>
      <c r="G74" s="14">
        <f>I74-0</f>
        <v>0</v>
      </c>
      <c r="H74" s="14">
        <v>0</v>
      </c>
      <c r="I74" s="14">
        <v>0</v>
      </c>
      <c r="J74" s="15">
        <f t="shared" si="2"/>
        <v>3000</v>
      </c>
    </row>
    <row r="75" spans="1:10" ht="15" customHeight="1">
      <c r="A75" s="3">
        <v>28</v>
      </c>
      <c r="B75" s="4">
        <v>0</v>
      </c>
      <c r="C75" s="5" t="s">
        <v>88</v>
      </c>
      <c r="D75" s="6">
        <f aca="true" t="shared" si="19" ref="D75:J75">SUM(D76:D77)</f>
        <v>4422293</v>
      </c>
      <c r="E75" s="6">
        <f t="shared" si="19"/>
        <v>4922293</v>
      </c>
      <c r="F75" s="6">
        <f t="shared" si="19"/>
        <v>872784.6400000001</v>
      </c>
      <c r="G75" s="6">
        <f t="shared" si="19"/>
        <v>912107.7000000002</v>
      </c>
      <c r="H75" s="6">
        <f t="shared" si="19"/>
        <v>1906330.34</v>
      </c>
      <c r="I75" s="6">
        <f t="shared" si="19"/>
        <v>1775230.1400000001</v>
      </c>
      <c r="J75" s="7">
        <f t="shared" si="19"/>
        <v>3015962.66</v>
      </c>
    </row>
    <row r="76" spans="1:10" ht="15" customHeight="1">
      <c r="A76" s="3">
        <v>28</v>
      </c>
      <c r="B76" s="4">
        <v>843</v>
      </c>
      <c r="C76" s="5" t="s">
        <v>89</v>
      </c>
      <c r="D76" s="8">
        <f>4210000+153000</f>
        <v>4363000</v>
      </c>
      <c r="E76" s="8">
        <f>4710000+153000</f>
        <v>4863000</v>
      </c>
      <c r="F76" s="14">
        <f>H76-1033545.7</f>
        <v>872784.6400000001</v>
      </c>
      <c r="G76" s="14">
        <f>I76-863122.44</f>
        <v>912107.7000000002</v>
      </c>
      <c r="H76" s="14">
        <f>1857335.54+48994.8</f>
        <v>1906330.34</v>
      </c>
      <c r="I76" s="14">
        <f>1726235.34+48994.8</f>
        <v>1775230.1400000001</v>
      </c>
      <c r="J76" s="15">
        <f t="shared" si="2"/>
        <v>2956669.66</v>
      </c>
    </row>
    <row r="77" spans="1:10" ht="15" customHeight="1">
      <c r="A77" s="3">
        <v>28</v>
      </c>
      <c r="B77" s="4">
        <v>846</v>
      </c>
      <c r="C77" s="5" t="s">
        <v>90</v>
      </c>
      <c r="D77" s="8">
        <f>5000+54293</f>
        <v>59293</v>
      </c>
      <c r="E77" s="8">
        <f>5000+54293</f>
        <v>59293</v>
      </c>
      <c r="F77" s="14">
        <f>H77-0</f>
        <v>0</v>
      </c>
      <c r="G77" s="14">
        <f>I77-0</f>
        <v>0</v>
      </c>
      <c r="H77" s="14">
        <v>0</v>
      </c>
      <c r="I77" s="14">
        <v>0</v>
      </c>
      <c r="J77" s="15">
        <f>E77-H77</f>
        <v>59293</v>
      </c>
    </row>
    <row r="78" spans="1:10" ht="15" customHeight="1" thickBot="1">
      <c r="A78" s="9"/>
      <c r="B78" s="10"/>
      <c r="C78" s="11" t="s">
        <v>91</v>
      </c>
      <c r="D78" s="12">
        <f aca="true" t="shared" si="20" ref="D78:I78">_xlfn.SUMIFS(D9:D77,$B$9:$B$77,0)</f>
        <v>270923350</v>
      </c>
      <c r="E78" s="12">
        <f t="shared" si="20"/>
        <v>291814480.03</v>
      </c>
      <c r="F78" s="12">
        <f t="shared" si="20"/>
        <v>45003537.059999995</v>
      </c>
      <c r="G78" s="12">
        <f t="shared" si="20"/>
        <v>43930923.06000001</v>
      </c>
      <c r="H78" s="12">
        <f t="shared" si="20"/>
        <v>133065305.71000002</v>
      </c>
      <c r="I78" s="12">
        <f t="shared" si="20"/>
        <v>73733532.63</v>
      </c>
      <c r="J78" s="13">
        <f>_xlfn.SUMIFS(J9:J77,$B$9:$B$77,0)</f>
        <v>158749174.32000002</v>
      </c>
    </row>
    <row r="79" ht="13.5" thickTop="1"/>
    <row r="80" spans="1:11" s="24" customFormat="1" ht="14.25">
      <c r="A80" s="1"/>
      <c r="B80" s="25" t="s">
        <v>17</v>
      </c>
      <c r="C80" s="25"/>
      <c r="D80" s="25" t="s">
        <v>13</v>
      </c>
      <c r="E80" s="25"/>
      <c r="F80" s="25" t="s">
        <v>14</v>
      </c>
      <c r="G80" s="25"/>
      <c r="H80" s="25"/>
      <c r="I80" s="25" t="s">
        <v>15</v>
      </c>
      <c r="J80" s="25"/>
      <c r="K80" s="1"/>
    </row>
    <row r="81" spans="1:11" s="24" customFormat="1" ht="14.25">
      <c r="A81" s="1"/>
      <c r="B81" s="25" t="s">
        <v>11</v>
      </c>
      <c r="C81" s="25"/>
      <c r="D81" s="25" t="s">
        <v>92</v>
      </c>
      <c r="E81" s="25"/>
      <c r="F81" s="25" t="s">
        <v>0</v>
      </c>
      <c r="G81" s="25"/>
      <c r="H81" s="25"/>
      <c r="I81" s="25" t="s">
        <v>12</v>
      </c>
      <c r="J81" s="25"/>
      <c r="K81" s="1"/>
    </row>
    <row r="82" spans="6:8" ht="12.75">
      <c r="F82" s="25" t="s">
        <v>18</v>
      </c>
      <c r="G82" s="25"/>
      <c r="H82" s="25"/>
    </row>
  </sheetData>
  <sheetProtection selectLockedCells="1"/>
  <mergeCells count="18">
    <mergeCell ref="F7:G7"/>
    <mergeCell ref="H7:J7"/>
    <mergeCell ref="I80:J80"/>
    <mergeCell ref="I81:J81"/>
    <mergeCell ref="B80:C80"/>
    <mergeCell ref="A1:J1"/>
    <mergeCell ref="A2:J2"/>
    <mergeCell ref="A3:J3"/>
    <mergeCell ref="A6:J6"/>
    <mergeCell ref="A7:A8"/>
    <mergeCell ref="B7:B8"/>
    <mergeCell ref="D7:E7"/>
    <mergeCell ref="F82:H82"/>
    <mergeCell ref="B81:C81"/>
    <mergeCell ref="D80:E80"/>
    <mergeCell ref="D81:E81"/>
    <mergeCell ref="F80:H80"/>
    <mergeCell ref="F81:H8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5" r:id="rId1"/>
  <ignoredErrors>
    <ignoredError sqref="E79:J79 E12:E57 E59:E75 E78" formula="1"/>
    <ignoredError sqref="F12:J57 F59:J75 J58 F77:J78 F76:G76 J76" formula="1" unlockedFormula="1"/>
    <ignoredError sqref="F10:J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2013-10-17T12:32:56Z</cp:lastPrinted>
  <dcterms:created xsi:type="dcterms:W3CDTF">2011-03-29T11:09:23Z</dcterms:created>
  <dcterms:modified xsi:type="dcterms:W3CDTF">2013-10-17T12:32:59Z</dcterms:modified>
  <cp:category/>
  <cp:version/>
  <cp:contentType/>
  <cp:contentStatus/>
</cp:coreProperties>
</file>