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89" activeTab="0"/>
  </bookViews>
  <sheets>
    <sheet name="Novembro 2014" sheetId="1" r:id="rId1"/>
  </sheets>
  <definedNames>
    <definedName name="Excel_BuiltIn_Print_Titles_3">#REF!</definedName>
    <definedName name="Excel_BuiltIn_Print_Titles_3_1">#REF!</definedName>
    <definedName name="Excel_BuiltIn_Print_Titles_3_1_1">#REF!</definedName>
    <definedName name="Excel_BuiltIn_Print_Titles_3_1_1_1">#REF!</definedName>
    <definedName name="Excel_BuiltIn_Print_Titles_3_1_1_1_1">#REF!</definedName>
    <definedName name="Excel_BuiltIn_Print_Titles_5">#REF!</definedName>
    <definedName name="Excel_BuiltIn_Print_Titles_6">#REF!</definedName>
    <definedName name="_xlnm.Print_Titles" localSheetId="0">'Novembro 2014'!$1:$5</definedName>
  </definedNames>
  <calcPr fullCalcOnLoad="1"/>
</workbook>
</file>

<file path=xl/sharedStrings.xml><?xml version="1.0" encoding="utf-8"?>
<sst xmlns="http://schemas.openxmlformats.org/spreadsheetml/2006/main" count="662" uniqueCount="381">
  <si>
    <t>REPASSES PÚBLICOS AO TERCEIRO SETOR</t>
  </si>
  <si>
    <t>RELAÇÃO DOS AJUSTES COM ENTIDADES NÃO-GOVERNAMENTAIS, SEM FINS LUCRATIVOS, DE VALOR INFERIOR AO LIMITE DE REMESSA AO TCESP</t>
  </si>
  <si>
    <t>VALORES REPASSADOS DURANTE O EXERCÍCIO DE 2014</t>
  </si>
  <si>
    <t>ÓRGÃO CONCESSOR:  PREFEITURA DA ESTÂNCIA DE ATIBAIA</t>
  </si>
  <si>
    <t>CONVÊNIO
N° (*)</t>
  </si>
  <si>
    <t>ENTIDADE BENEFICIÁRIA/CNPJ</t>
  </si>
  <si>
    <t>ENDEREÇO ENTIDADE</t>
  </si>
  <si>
    <t>DATA</t>
  </si>
  <si>
    <t>VIGÊNCIA
ATÉ</t>
  </si>
  <si>
    <t>VALOR GLOBAL DO AJUSTE</t>
  </si>
  <si>
    <t>FONTE</t>
  </si>
  <si>
    <t>OBJETO</t>
  </si>
  <si>
    <t>01</t>
  </si>
  <si>
    <t>Casulo – Centro de Desenvolvimento e Integração Social da Criança Perdoense. CNPJ 04.456.594/0002-81</t>
  </si>
  <si>
    <t>Entidade de Assistência Social Dorcas – CNPJ 51.295.293/0001-12</t>
  </si>
  <si>
    <t>Rua Barbara Puzzoni Profeta, 109 – Chácara do Camilo – Atibaia/SP</t>
  </si>
  <si>
    <t>02</t>
  </si>
  <si>
    <t>Associação de Difusão Cultural de Atibaia – CNPJ 54.676.184/0001-33</t>
  </si>
  <si>
    <t>Rua Doutor Oswaldo Urioste, 41 – Centro – Atibaia/SP</t>
  </si>
  <si>
    <t>05</t>
  </si>
  <si>
    <t>Grupo Cristão Assistencial Casa do Pão – CNPJ 03.666.335/0001-31</t>
  </si>
  <si>
    <t>Rua Alberto de Almeida Brandão, 185 – Maracanã Atibaia/SP</t>
  </si>
  <si>
    <t>Espaço Crescer – Livre Criatividade CNPJ 04.226.574/0001-33</t>
  </si>
  <si>
    <t>Rua das Camélias, 520 – Chácara Fernão Dias, Atibaia/SP</t>
  </si>
  <si>
    <t>Associação de Pais e Amigos dos Excepcionais de Atibaia – APAE             CNPJ 47.952.825/0001-70</t>
  </si>
  <si>
    <t>Praça João Paulo II, 25 – Vila Nova Aclimação – Atibaia/SP</t>
  </si>
  <si>
    <t>Rua Tóquio, 146 – Jd. Imperial, Atibaia/SP</t>
  </si>
  <si>
    <t>Associação Espirita Beneficente  e Educacional Casa do Caminho  - CNPJ 86.790.268/0001-90</t>
  </si>
  <si>
    <t>Estrada dos Perines, 230 – Boa Vista – Atibaia/SP</t>
  </si>
  <si>
    <t>30 dias após a liberação do último repasse do Ministério</t>
  </si>
  <si>
    <t>Rua Vereador Pedro Tacco, 48 – Centro – Atibaia/SP</t>
  </si>
  <si>
    <t>ONG Brasil do Futuro – CNPJ 15.814.815/0001-81</t>
  </si>
  <si>
    <t>Estrada Tapuias, nº 550 – Jardim Estância Brasil, Atibaia/SP</t>
  </si>
  <si>
    <t>Executar o Projeto Flor de Lotus I, visando o atendimento a 100 (cem) crianças/adolescentes na faixa etária de 06 a 18 anos e seus respectivos familiares expostos a riscos sociais e vulnerabilidade – Jardim Imperial</t>
  </si>
  <si>
    <t>Executar  o Projeto Reviver, visando o acolhimento imediato e emergencial de 50 (cinquenta) pessoas/dia em situação de rua e desabrigo por abandono</t>
  </si>
  <si>
    <t>020/2014 – SADS/CMAS – Proc. 39.012/2013</t>
  </si>
  <si>
    <t>Executar o Projeto Flor de Lotus II, visando o atendimento de 100 (cem) crianças e adolescentes na faixa etária de 06 a 18 anos incompletos e seus respectivos familiares expostos a riscos sociais e vulnerabilidade – Bairro do Portão</t>
  </si>
  <si>
    <t>021/2014 – SADS/CMAS – Proc. 39.048/2013</t>
  </si>
  <si>
    <t>Irmandade Civil Pró Vila de São Vicente de Paulo CNPJ 44.515.963/0001-01</t>
  </si>
  <si>
    <t>Rua São Vicente de Paulo, 30 – Centro, Atibaia/SP</t>
  </si>
  <si>
    <t>Execução do Programa de Proteção Social Especial de Alta Complexidade, que visa atender pessoas idosas provenientes de Atibaia</t>
  </si>
  <si>
    <t>022/2014 – Creche Comunitária – Proc. 42.501/2013</t>
  </si>
  <si>
    <t>Associação Carmelitas de São José – CNPJ 04.178.469/0001-76</t>
  </si>
  <si>
    <t>Rod. Fernão dias, Km 51, Bairro do Portão, Atibaia/SP</t>
  </si>
  <si>
    <t>Atendimento de até 39 crianças, na faixa etária de 02 a 03 anos e 11 meses de idade.</t>
  </si>
  <si>
    <t>023/2014 – Creche Comunitária – Proc. 42.505/2013</t>
  </si>
  <si>
    <t>Associação dos Moradores e Amigos do Jardim Maristela II – AMAM II – CNPJ 07.871.604/0001-52</t>
  </si>
  <si>
    <t>Rua Cinco, nº 300 – Jardim Maristela II, Atibaia/SP</t>
  </si>
  <si>
    <t>Atendimento de até 35 crianças, na faixa etária de 02 a 03 anos completos.</t>
  </si>
  <si>
    <t>024/2014 – SADS/CMAS – Proc. 39.063/2013</t>
  </si>
  <si>
    <t>Rua Presidente Lincoln, nº 44 – Vila Loanda, Atibaia/SP</t>
  </si>
  <si>
    <t>Execução do Projeto Lar Ninho de Estrelas, que visa o acolhimento institucional de 20 crianças e adolescentes, com faixa etária de 0 a 17 anos, 11 meses e 29 dias de ambos os sexos.</t>
  </si>
  <si>
    <t>025/2014 – SAÚDE Proc. 45.525/2013</t>
  </si>
  <si>
    <t>Executar o Programa Habilitar e Reabilitar para Incluir.</t>
  </si>
  <si>
    <t>026/2014 – SADS/CMAS – Proc. 39.058/2013</t>
  </si>
  <si>
    <t>Execução do Projeto Casulo Acolher, que visa o acolhimento institucional de 20 crianças e adolescentes, com faixa etária de 0 a 17 anos, 11 meses e 29 dias de ambos os sexos</t>
  </si>
  <si>
    <t>027/2014 – SADS/CMAS – Proc, 39.014/2013</t>
  </si>
  <si>
    <t>Execução do Projeto Luz do Caminho – Desenvolvimento Pessoal e Preparação de Jovens para o Trabalho.</t>
  </si>
  <si>
    <t>028/2014 – SADS/CMAS – Proc. 39.065/2013</t>
  </si>
  <si>
    <t>Lar Dona Mariquinha do Amaral – CNPJ 51.867.695/0001-44</t>
  </si>
  <si>
    <t>Avenida São João, s/nº – Centro, Atibaia/SP</t>
  </si>
  <si>
    <t>Execução do Projeto Aprender a Ser, visando o acolhimento de 20 crianças e adolescentes de 0 a 18 anos incompletos de ambos os sexos.</t>
  </si>
  <si>
    <t>029/2014 – SADS/CMAS – Proc. 39.010/2013 e 1º T A</t>
  </si>
  <si>
    <t>Execução do Projeto Crescendo para a Cidadania, visando promover oficinas socioeducativas às crianças e adolescentes de 06 a 18 anos incompletos.</t>
  </si>
  <si>
    <t>030/2014 – SADS/CMAS – Proc. 39.055/2013</t>
  </si>
  <si>
    <t>Executar o Programa APAE em Domicílio, visando atendimento especializado às pessoas com deficiência e idosos com algum grau de dependência.</t>
  </si>
  <si>
    <t>Associação dos Pais e Amigos da Fanfarra Municipal de Atibaia – CNPJ 07.712.462/0001-80</t>
  </si>
  <si>
    <t>Avenida Joviano Alvim, nº 1.322 – Atibaia Jardim, Atibaia/SP</t>
  </si>
  <si>
    <t>Execução do Projeto Educando com Música e Cidadania.</t>
  </si>
  <si>
    <t>032/2014 – Proc. 45.960/2013</t>
  </si>
  <si>
    <t>AMICRI - Associação Amigos da Criança de Atibaia – CNPJ 00.644.883/0001-72</t>
  </si>
  <si>
    <t>Avenida Professor Odair da Silva Pinto, 955, Guaxinduva, Atibaia/SP</t>
  </si>
  <si>
    <t>Executar o Programa Centro de Referência da Mulher em situação de Violência.</t>
  </si>
  <si>
    <t>Executar o Programa Central de Penas e Medidas alternativas, visando prover o encaminhamento, acompanhamento e orientação adequados às pessoas condenadas a cumprir Pena Alternativa de Prestação de Serviços à Comunidade.</t>
  </si>
  <si>
    <t>034/2014 – SADS – Proc. 39.051/2013</t>
  </si>
  <si>
    <t>Executar o Projeto de Atenção Psicossocial à criança e ao adolescente vítima de violência física, psicológica e negligência.</t>
  </si>
  <si>
    <t>035/2014 – Cultura – Carnaval/2014 – Proc. 43.454/2013</t>
  </si>
  <si>
    <t>Grêmio Recreativo Cultural Escola de Samba Mocidade da Vila – CNPJ 59.024.067/0001-09</t>
  </si>
  <si>
    <t>Praça Brasília, s/nº – Alvinópolis – Atibaia/SP</t>
  </si>
  <si>
    <t>Execução do Desfile e Concursos Carnavalesco de 2014</t>
  </si>
  <si>
    <t>036/2014 – Cultura – Carnaval/2014 – Proc. 43.595/2013</t>
  </si>
  <si>
    <t>Grêmio Recreativo, Cultural e Social Escola de Samba Esportistas de Atibaia – CNPJ 04.835.908/0001-76</t>
  </si>
  <si>
    <t>Avenida Brigadeiro José Vicente de Faria de Lima, 761 – Atibaia Jardim</t>
  </si>
  <si>
    <t>037/2014 – Cultura – Carnaval/2014 – Proc. 43.435/2013</t>
  </si>
  <si>
    <t>Escola de Samba Imperial de Atibaia – CNPJ 08.889.199/0001-62</t>
  </si>
  <si>
    <t>Rua Liberdade, 125 – Jardim Imperial – Atibaia/SP</t>
  </si>
  <si>
    <t>038/2014 – Proc. 2.199/2014</t>
  </si>
  <si>
    <t>Execução do Projeto “Melhor Idade”</t>
  </si>
  <si>
    <t>039/2014 – Cultura – Carnaval/2014 – Proc. 45.057/2013</t>
  </si>
  <si>
    <t>Grêmio Recreativo Cultural Escola de Samba Independência – CNPJ 59.023.499/0001-03</t>
  </si>
  <si>
    <t>040/2014 – Creche Comunitária – Proc. 2.155/2014</t>
  </si>
  <si>
    <t>Associação dos Moradores Jardim São Felipe, Jardim Ciliar e Jardim Santo Antônio  - CNPJ 59.018.135/0001-27</t>
  </si>
  <si>
    <t>Rua Anna Mathias Vairo, s/nº – Jardim São Felipe, Atibaia/SP</t>
  </si>
  <si>
    <t>Atendimento de até 27 (vinte e sete) crianças, na faixa etária de 01 ano e 8 meses a 03 anos de idade completos.</t>
  </si>
  <si>
    <t>041/2014 – Esportes Proc. 465/2014</t>
  </si>
  <si>
    <t>Associação Futebol Atibaia CNPJ 14.751.299/0001-20</t>
  </si>
  <si>
    <t>Alameda Sofia, 214 – Parque das Nações, Atibaia/SP</t>
  </si>
  <si>
    <t>Execução do Projeto Celeiro de Craques.</t>
  </si>
  <si>
    <t>042/2014 – Esportes Proc. 1.161/2014</t>
  </si>
  <si>
    <t>Associação Paradesportistas de Atibaia – APA. - CNPJ 11.846.291/0001-50</t>
  </si>
  <si>
    <t>Rua Riachuelo, 124 – Jardim Imperial – Atibaia/SP</t>
  </si>
  <si>
    <t>Execução do Projeto Natação na Escola.</t>
  </si>
  <si>
    <t>043/2014 – Esportes Proc. 1.072/2014</t>
  </si>
  <si>
    <t>Associação Paulo Alvim de Judô – Atibaia – A.P.A.J.A. - CNPJ 07.547.005/0001-88</t>
  </si>
  <si>
    <t>Avenida Clóvis Soares, 625 – Alvinópolis – Atibaia/SP</t>
  </si>
  <si>
    <t>Execução dos Projetos Judô de Participação e Judô Sócio Educativo</t>
  </si>
  <si>
    <t>044/2014 – Cultura Proc. 43.298/2013</t>
  </si>
  <si>
    <t>Grêmio Recreativo Acadêmicos do Cerejeiras – CNPJ 05.459.049/0001-20</t>
  </si>
  <si>
    <t>Rua José Aparecido Verutti, nº 80 – Jardim Cerejeiras – Atibaia/SP</t>
  </si>
  <si>
    <t>045/2014 – Educação Proc. 5.721/2014</t>
  </si>
  <si>
    <t>Execução do Programa da Juventude “Anália Franco”, visando o atendimento contraturno escolar.</t>
  </si>
  <si>
    <t>046/2014 – Educação Proc. 4.493/2014</t>
  </si>
  <si>
    <t>APM da E.M.E.I.F. Rosiris Maria Andreucci Stopa – CNPJ 13.379.898/0001-00</t>
  </si>
  <si>
    <t>Execução do Programa Melhoria da Educação</t>
  </si>
  <si>
    <t>047/2014 – Esportes Proc. 3.891/2014</t>
  </si>
  <si>
    <t>Execução do Projeto Atletismo e Natação para pessoas com deficiência.</t>
  </si>
  <si>
    <t>048/2014 – Cultura Proc. 5.430/2014</t>
  </si>
  <si>
    <t>Instituto de Arte e Cultura Garatuja  - CNPJ 07.166.402/0001-00</t>
  </si>
  <si>
    <t>Execução do Projeto As Linguagens da Dança.</t>
  </si>
  <si>
    <t>049/2014 – Cultura Proc. 3.352/2014</t>
  </si>
  <si>
    <t>Execução do Programa Oficinas de Comunidade.</t>
  </si>
  <si>
    <t>050/2014 – Cultura Proc. 5.183/2014</t>
  </si>
  <si>
    <t>Execução do Projeto “Entrando em Cena – Primeiro Ato”</t>
  </si>
  <si>
    <t>051/2014 – Educação Proc. 6.407/2014</t>
  </si>
  <si>
    <t>Associação Consciência Solidária – CNPJ 07.176.916/0001-46</t>
  </si>
  <si>
    <t>Rua Pedro Cunha, 88 – Vila Santista – Atibaia/SP</t>
  </si>
  <si>
    <t>Execução do Projeto Vem Ser</t>
  </si>
  <si>
    <t>052/2014 – Esportes Proc. 2.675/2014</t>
  </si>
  <si>
    <t>Associação Hércio Teófilo de Jiu Jitsu – Atibaia – CNPJ 15.372.962/0001-49</t>
  </si>
  <si>
    <t>Rua Itália, 209 – Atibaia Jardim – Atibaia/SP</t>
  </si>
  <si>
    <t>Execução do Projeto Jiu-Jitsu para Todos – PJJPT</t>
  </si>
  <si>
    <t>053/2014 – Esportes Proc. 5.070/2014</t>
  </si>
  <si>
    <t>Execução do Projeto Cidadão Campeão</t>
  </si>
  <si>
    <t>054/2014 – Esportes Proc. 5.071/2014</t>
  </si>
  <si>
    <t>Execução do Projeto Gingarte, que visa difundir a capoeira nos bairros de Atibaia</t>
  </si>
  <si>
    <t>055/2014 – Educação Proc. 6.703/2014</t>
  </si>
  <si>
    <t>APM da E.M.E.F. Eva Cordula Hauer Vallejo – CNPJ 07.434.351/0001-50</t>
  </si>
  <si>
    <t>Estrada Juca Sanches, s/nº – km 11 – Boa Vista, Atibaia/SP</t>
  </si>
  <si>
    <t>056/2014 – Esportes Proc. 3.559/2014</t>
  </si>
  <si>
    <t>Grupo de Amigos do Esporte e Cultura – CNPJ 12.439.794/0001-73</t>
  </si>
  <si>
    <t>Rua Capitão Batista da Silveira Pinto, 27 – Jardim Paulista, Atibaia/SP</t>
  </si>
  <si>
    <t>Execução do Projeto Movimento, que visa ampliar as oportunidades das práticas esportivas para crianças, adolescentes e adultos da cidade de Atibaia.</t>
  </si>
  <si>
    <t>057/2014 – Educação Proc. 10.978/2014</t>
  </si>
  <si>
    <t>A.P.M. Da E.M.E.F. Padre Armando Tamassia – CNPJ 02.741.642/0001-77</t>
  </si>
  <si>
    <t>Rua Tóquio, 401 – Jd. Das Cerejeiras, Atibaia/SP</t>
  </si>
  <si>
    <t>059/2014 – Educação Proc. 11.808/2014</t>
  </si>
  <si>
    <t>APM da E.M.E.F. Professor Waldemar Bastos Buhler – CNPJ 03.873.956/0001-96</t>
  </si>
  <si>
    <t>Rua Pacembu, s/nº, Jardim Imperial, Atibaia/SP</t>
  </si>
  <si>
    <t>060/2014 – Educação Proc. 12.683/2014</t>
  </si>
  <si>
    <t>APM da E.M.E.F. Prefeito Walter Engracia de Oliveira – CNPJ 67.991.141/0001-94</t>
  </si>
  <si>
    <t>Rua Carlos Rado Paternost, 67, Caetetuba, Atibaia/SP</t>
  </si>
  <si>
    <t>061/2014 – Educação Proc. 121.797/2014</t>
  </si>
  <si>
    <t>Associação de Pais e Mestres da EMEF Professora Therezinha do Menino Jesus Silveira Campos Sirera – CNPJ 05.769.832/0001-90</t>
  </si>
  <si>
    <t>Rua Ana Pires, s/nº – Jardim Cerejeiras, Atibaia/SP</t>
  </si>
  <si>
    <t>062/2014 – Melhor Escola – Proc. 13.909/2014</t>
  </si>
  <si>
    <t>A.P.M. Do C.E.I. Prof. Aracy Salles Pereira – CNPJ 03.381.913/0001-93</t>
  </si>
  <si>
    <t>Praça Anchieta, 81 – Jardim Cerejeiras, Atibaia/SP</t>
  </si>
  <si>
    <t>Execução do Programa Melhor Escola</t>
  </si>
  <si>
    <t>064/2014 – Melhor Escola – Proc. 13.9,5/2014</t>
  </si>
  <si>
    <t>A.P.M. Da E.M.E.F. Prefeito Walter Engrácia de Oliveira CNPJ 67.991.141/0001-94</t>
  </si>
  <si>
    <t>065/2014 – Educação Proc. 14.732/2014</t>
  </si>
  <si>
    <t>A.P.M. Da E.M. Educador Paulo Freire – CNPJ 09.640.105/0001-80</t>
  </si>
  <si>
    <t>Estrada Municipal Hisaichi Takebayashi, 8500, Usina, Atibaia/SP</t>
  </si>
  <si>
    <t>066/2014 – Educação Proc. 13.749/2014</t>
  </si>
  <si>
    <t>Associação de Pais e Mestres da E.M.E.F. Prefeito Gilberto Sant'Anna – CNPJ 06.255.824/0001-99</t>
  </si>
  <si>
    <t>Rua Nazareno Rossi, s/nº – Bairro do Tanque, Atibaia/SP</t>
  </si>
  <si>
    <t>067/2014 – Melhor Escola – Proc. 13.917/2014</t>
  </si>
  <si>
    <t>068/2014 – Melhor Escola – Proc. 13.927/2014</t>
  </si>
  <si>
    <t>Associação de Pais e Mestres da E.M.E.F. Professor Pedro de Alcântara Santos Silva – CNPJ 54.145.511/0001-20</t>
  </si>
  <si>
    <t>Rua das Lantanas, 50, Jardim Estância Brasil, Atibaia/SP</t>
  </si>
  <si>
    <t>070/2014 – Melhor Escola – Proc. 13.933/2014</t>
  </si>
  <si>
    <t>Assoc. De P e Mestres da EMEI Profa Thereza Marcílio – CNPJ 86.854.890/0001-14</t>
  </si>
  <si>
    <t>Rua Marcílio Ambrósio de Carvalho, s/nº – Bairro da Ponte, Atibaia/SP</t>
  </si>
  <si>
    <t>Associação Espírita Beneficente e Educacional Casa do Caminho – CNPJ 86.790.268/000190</t>
  </si>
  <si>
    <t>Execução do Programa de Capacitação Profissional e Preparação para o Mercado de Trabalho</t>
  </si>
  <si>
    <t>072/2014 – SADS – Proc. 12.109/2014</t>
  </si>
  <si>
    <t>Executar o Projeto Caetê, que visa complementar as ações da família.</t>
  </si>
  <si>
    <t>073/2014 – SADS – Proc. 12.112/2014</t>
  </si>
  <si>
    <t>Executar o Projeto Articulando Oficinas, que visa atender famílias em situação de vulnerabilidade social.</t>
  </si>
  <si>
    <t>074/2014 – SADS – Proc. 12.117/2014</t>
  </si>
  <si>
    <t>Executar o Projeto Reconstruindo, que visa atender crianças na faixa etária de 03 a 12 anos incompletos, de famílias em situação de vulnerabilidade social do bairro de Caetetuba.</t>
  </si>
  <si>
    <t>085/2014 – Turismo Proc. 13.275/2014</t>
  </si>
  <si>
    <t>ARC&amp;VB – Atibaia e Região Convention &amp; Visitors Bureau – CNPJ 07.747.778/0001-08</t>
  </si>
  <si>
    <t>Rua Clóvis Soares, 850 – 2º Andar, sala 03 e 04, Alvinópolis, Atibaia/SP</t>
  </si>
  <si>
    <t>Execução do Projeto de Desenvolvimento Turístico de Atibaia</t>
  </si>
  <si>
    <t>Executar o Projeto Residência Inclusiva “Família do Bem”.</t>
  </si>
  <si>
    <t>087/2014 – SADS Proc. 15.670/2014</t>
  </si>
  <si>
    <t>30 dias após a liberação do último repasse da Secretaria Estadual de Desenvolvimento Social</t>
  </si>
  <si>
    <t>Executar o projeto Reviver II, visando promover oficinas socioeducativas</t>
  </si>
  <si>
    <t>063/2014 – Melhor Escola – Proc. 13.916/2014</t>
  </si>
  <si>
    <t>Associação de Pais e Mestres da EMEF Estudante Nelson José Pedroso – CNPJ 06.255.813/0001-09</t>
  </si>
  <si>
    <t>Rua Antonio Cunha Leite, 1.835, Portão – Atibaia/SP</t>
  </si>
  <si>
    <t>069/2014 – Melhor Escola – Proc. 13.914/2014</t>
  </si>
  <si>
    <t>APM do CEI Irene Janussi Franco – CNPJ 00.863.259/0001-66</t>
  </si>
  <si>
    <t>Rua Vereador Pedro Tacco, s/nº – Centro – Atibaia/SP</t>
  </si>
  <si>
    <t>075/2014 – Melhor Escola – Proc. 13.938/2014</t>
  </si>
  <si>
    <t>APM da EMEF Prof. Guilherme Pilegi Contesini – Proc. 13.938/2014</t>
  </si>
  <si>
    <t>Rua Emídio Fazzio, 75 – Alvinópolis, Atibaia/SP</t>
  </si>
  <si>
    <t>076/2014 – Melhor Escola – Proc. 13.983/2014</t>
  </si>
  <si>
    <t>077/2014 – Melhor Escola – Proc. 14.004/2014</t>
  </si>
  <si>
    <t>078/2014 – Melhor Escola – Proc. 13.908/2014</t>
  </si>
  <si>
    <t>APM do CEI Prof Judith Graciano, CNPJ 01.069.941/0001-44</t>
  </si>
  <si>
    <t>Rua João Umbelino, nº 16, Jardim Alvinópolis, Atibaia/SP</t>
  </si>
  <si>
    <t>079/2014 – Melhor Escola – Proc. 13.988/2014</t>
  </si>
  <si>
    <t>As de Pais e M EMEI Prof Francisco da Silveira Bueno, CNPJ 00.550.762/0001-61</t>
  </si>
  <si>
    <t>080/2014 – Melhor Escola – Proc. 13.925/2014</t>
  </si>
  <si>
    <t>Associação de Pais e Mestres da EMEI Professora Maria José Maia de Toledo – CNPJ 51.294.304/0001-40</t>
  </si>
  <si>
    <t>Avenida Major Alvim, 1139, Alvinópolis – Atibaia/SP</t>
  </si>
  <si>
    <t>081/2014 – Melhor Escola – Proc. 13.922/2014</t>
  </si>
  <si>
    <t>APM da EMEI Dr José Aparecido Ferreira Franco – CNPJ 00.716.888/0001-63</t>
  </si>
  <si>
    <t>Rua Dr. Lourenço de Sá Albuquerque, s/nº – Jardim Brasil – Atibaia/SP</t>
  </si>
  <si>
    <t>082/2014 – Melhor Escola – Proc. 14.005/2014</t>
  </si>
  <si>
    <t>Associação de Pais e Mestres do Núcleo de Integração das Escolas Isoladas – Polo Rosário – CNPJ 05.688.101/0001-10</t>
  </si>
  <si>
    <t>Rua Albertina Mielli Pires, 145 – Centro, Atibaia/SP</t>
  </si>
  <si>
    <t>APM da EMEIF Felipe Patacho Callegari – CNPJ 86.872.884/0001-90</t>
  </si>
  <si>
    <t>Rua Tókio, s/nº – Jardim Imperial, Atibaia/SP</t>
  </si>
  <si>
    <t>084/2014 – Melhor Escola – Proc. 13.918/2014</t>
  </si>
  <si>
    <t>APM da EMEIF Rosiris Maria Andreucci Stopa – CNPJ 13.379.898/0001-00</t>
  </si>
  <si>
    <t>Rua Anna  athias Vairo, 75 – Campos de Atibaia – Atibaia/SP</t>
  </si>
  <si>
    <t>088/2014 – Melhor Escola – Proc. 14.006/2014</t>
  </si>
  <si>
    <t>Associação de Pais e Mestres do Núcleo de Integração das Escolas Isoladas – II – Niei II – Polo Guaxinduva – CNPJ 13.684.957/0001-46</t>
  </si>
  <si>
    <t>089/2014 – Melhor Escola – Proc. 13.911/2014</t>
  </si>
  <si>
    <t>APM da EMEI Diretora Eleonor de Barros – CNPJ 00.716.885/001-20</t>
  </si>
  <si>
    <t>090/2014 – Melhor Escola – Proc. 13.970/2014</t>
  </si>
  <si>
    <t>APM da EMEF. Professora Maria José Cintra dos Santos – CNPJ 06.203.439/0001-06</t>
  </si>
  <si>
    <t>Rua João Neto, 400 – Jardim Maracanã, Atibaia/SP</t>
  </si>
  <si>
    <t>091/2014 – Melhor Escola – Proc, 13.926/2014</t>
  </si>
  <si>
    <t>APM da EMEI Prof. Maria P. Posso – CNPJ 00.539.711/0001-39</t>
  </si>
  <si>
    <t>Rua Antônio Cunha Leite, s/nº – Bairro do Portão, Atibaia/SP</t>
  </si>
  <si>
    <t>092/2014 – Melhor Escola – Proc. 13.939/2014</t>
  </si>
  <si>
    <t>APM EMEI Prof Licinio Carpinelli – CNPJ 73.861.320/0001-0</t>
  </si>
  <si>
    <t>Rua Fernão Dias, 471 – Caetetuba, Atibaia/SP</t>
  </si>
  <si>
    <t>093/2014 – Melhor Escola – Proc. 13.921/2014</t>
  </si>
  <si>
    <t>APM da EMEF Professor Waldemar Bastos Buhler – CNPJ 03.873.956/0001-96</t>
  </si>
  <si>
    <t>Rua Pacaembu, s/nº , Jardim Imperial, Atibaia/SP</t>
  </si>
  <si>
    <t>094/2014 – Melhor Escola – Proc. 13.931/2014</t>
  </si>
  <si>
    <t>APM da EMEF Professora Serafina de Luca Cherfen, CNPJ 02.240.868/0001-21</t>
  </si>
  <si>
    <t>Rua Marechal Rondon, s/nº, Recreio Estoril, Atibaia/SP</t>
  </si>
  <si>
    <t>095/2014 – Melhor Escola – Proc. 13.929/2014</t>
  </si>
  <si>
    <t>Associação de Pais e Mestres do CEI Rita de Cássia Gomes Denig – CNPJ 17.238.570/0001-17</t>
  </si>
  <si>
    <t>Rua Doutor Lourenço de Sá Albuquerque, 70 – Jardim Brasil – Atibaia/SP</t>
  </si>
  <si>
    <t>096/2014 – Melhor Escola – Proc. 13.924/2014</t>
  </si>
  <si>
    <t>Rua Bento Marcondes Escobar, 190 – Jardim Tapajós, Atibaia/SP</t>
  </si>
  <si>
    <t>Execução do Projeto ABC</t>
  </si>
  <si>
    <t>098/2014 – Esportes Proc. 19.232/2014</t>
  </si>
  <si>
    <t>Execução do Projeto Escola de Esportes</t>
  </si>
  <si>
    <t>100/2014 – Agropecuária – Proc. 22.806/2014</t>
  </si>
  <si>
    <t>Associação dos Produtores de Morango e Hortifruti de Atibaia/Jarinu e Região – CNPJ 54.144.894/0001-12</t>
  </si>
  <si>
    <t>Estrada Municipal, s/nº – Campo dos Aleixos, Atibaia/SP</t>
  </si>
  <si>
    <t>Realização da 31ª Festa do Morango de Atibaia, Jarinú e Região, nos dias 28 e 29 de junho, 05, 06, 12 e 13 de julho de 2014.</t>
  </si>
  <si>
    <t>101/2014 – Melhor Escola – Proc. 13.915/2014</t>
  </si>
  <si>
    <t>APM EMEF Professora Maria Helena Faria Ferraz – CNPJ 03.757.729/0001-03</t>
  </si>
  <si>
    <t>Avenida 3º Centenário, 295 – Parque Geronimo de Camargo, Atibaia/SP</t>
  </si>
  <si>
    <t>103/2014 – Esportes Proc. 22.937/2014</t>
  </si>
  <si>
    <t>104/2014 – Creche Comunitária – Proc. 6.404/2014</t>
  </si>
  <si>
    <t>Atendimento de até 25 crianças, na faixa etária de 01 ano e 6 meses a 02 anos, onze meses e 29 dias.</t>
  </si>
  <si>
    <t>105/2014 – SADS Proc. 22.941/2014</t>
  </si>
  <si>
    <t>Executar o Projeto Conviver</t>
  </si>
  <si>
    <t>106/2014 – SADS Proc. 12.119/2014</t>
  </si>
  <si>
    <t>Fraternidade Universal Projeto Curumim – CNPJ 00.938.214/0001-03</t>
  </si>
  <si>
    <t>Executar o Projeto Reciclando Valores – Circuito Cultural</t>
  </si>
  <si>
    <t>Executar o Projeto Reconstruindo Valores</t>
  </si>
  <si>
    <t>Executar o Projeto Convivência e Fortalecimento de Vínculos</t>
  </si>
  <si>
    <t>008/2013 – SAÚDE/PSF – Proc. 9.717/2013</t>
  </si>
  <si>
    <t>Irmandade de Misericórdia de Atibaia – CNPJ 44.510.485/0001-39</t>
  </si>
  <si>
    <t>Praça Dr Miguel Vairo, s/nº  Centro – Atibaia – SP</t>
  </si>
  <si>
    <t>Prestar atendimento de qualidade, integral e humano nas Unidades de Saúde.</t>
  </si>
  <si>
    <t>063/2013 – SADS – Proc.9.037/2013</t>
  </si>
  <si>
    <t>Rua João Franco de Camargo, 551 – Centro – Bom Jesus dos Perdões/SP</t>
  </si>
  <si>
    <t>30 dias após a liberação do último repasse</t>
  </si>
  <si>
    <t>Execução do Projeto Casulo Acolher.</t>
  </si>
  <si>
    <t>084/2013 – SADS Proc 44.824/2013</t>
  </si>
  <si>
    <t>30 dias após a liberação do último repasse da Secretaria Estadual de Des. Social</t>
  </si>
  <si>
    <t>Execução do Projeto Recriando as Férias</t>
  </si>
  <si>
    <t>085/2013 – SADS Proc. 44.826/2013</t>
  </si>
  <si>
    <t>Execução do Projeto Oficinema</t>
  </si>
  <si>
    <t>Organização Social Pró Vida – CNPJ 10.995.737/0001-45</t>
  </si>
  <si>
    <t>Rua Pedro Marcelo, 235 – Jd Ana Luiza – Itupeva/SP</t>
  </si>
  <si>
    <t>Fomento à execução de atividades na área da saúde em Atibaia, especificamente da gestão e execução das ações e serviços de saúde do Hospital e Maternidade São José da Irmandade de Misericórdia de Atibaia.</t>
  </si>
  <si>
    <t>Fomento à execução de atividades na área da saúde em Atibaia, especificamente da gestão e execução das ações e serviços de saúde da Unidade de Pronto Atendimento (UPA)-Porte II 24 H JD Cerejeiras.</t>
  </si>
  <si>
    <t>001/2014 – Creche Comunitária – Proc. 42.085/2013</t>
  </si>
  <si>
    <t>Associação de Serviços Assistenciais de Atibaia – ASA – CNPJ 44.707.206/0001-21</t>
  </si>
  <si>
    <t>Avenida Professor Carlos Alberto Alves de Carvalho Pinto, 170, Centro, Atibaia/SP</t>
  </si>
  <si>
    <t>Atendimento de até 140 crianças, na faixa etária de 03 meses a 03 anos completos em período integral.</t>
  </si>
  <si>
    <t>002/2014 – Creche Comunitária – Proc. 42.247/2013</t>
  </si>
  <si>
    <t>Atendimento de até 30 crianças, na faixa etária de 02 a 05 anos.</t>
  </si>
  <si>
    <t>003/2014 – Creche Comunitária – Proc. 42.500/2013</t>
  </si>
  <si>
    <t>Instituto Social Educativo e Beneficente Novo Signo CNPJ 78.636.974/0009-00</t>
  </si>
  <si>
    <t>Rua Avelino Antonio de Campos, 225, Caetetuba, Atibaia, SP</t>
  </si>
  <si>
    <t>Atendimento de até 200 crianças na faixa etária de 02 a 03 anos e 11 meses de idade.</t>
  </si>
  <si>
    <t>004/2014 – Educação – Proc. 42.084/2013</t>
  </si>
  <si>
    <t>Execução do Projeto Arte de Educar, visando o atendimento no período de contra turno escolar de até 90 alunos.</t>
  </si>
  <si>
    <t>005/2014 – Educação Especial – Proc. 42.513/2013</t>
  </si>
  <si>
    <t>Atendimento de até 145 educandos na faixa etária de 01 a 02 anos na Educação Precoce, de 03 a 05 anos na Educação Infantil, de 06 a 25 anos no Ensino Fundamental através do Programa Educação Especial.</t>
  </si>
  <si>
    <t>006/2014- - Creche Comunitária – Proc. 42.086/2013</t>
  </si>
  <si>
    <t>Fundação Grande Harmonia CNPJ 05.158.273/0002-63</t>
  </si>
  <si>
    <t>Rua João Pires, 848 – Centro, Atibaia/SP</t>
  </si>
  <si>
    <t>Atendimento de até 54 crianças na faixa etária de 02 a 03 anos completos.</t>
  </si>
  <si>
    <t>007/2014 – Creche Comunitária – Proc. 42.087/2013</t>
  </si>
  <si>
    <t>Associação de Moradores e Amigos do Bairro do Tanque – CNPJ 04.792.846/0001-62</t>
  </si>
  <si>
    <t>Rua Cristiano Krisberi, 173 – Jd. Paraíso – Bairro do Tanque – Atibaia/SP</t>
  </si>
  <si>
    <t>Atendimento de até 80 crianças, sendo 30 bebês de 06 meses a 01 ano e 11 meses e 50 crianças de 02 a 03 anos completos.</t>
  </si>
  <si>
    <t>008/2014 – Creche Comunitária – Proc. 42.507/2013</t>
  </si>
  <si>
    <t>Missão Evangélica Rohi M'Kadesh – CNPJ 03.440.315/0001-48</t>
  </si>
  <si>
    <t>Avenida São João, 557 – Centro, Atibaia/SP</t>
  </si>
  <si>
    <t>Atendimento de até 30 crianças, na faixa etária de 02 a 03 anos e 11 meses de idade.</t>
  </si>
  <si>
    <t>009/2014 – Creche Comunitária – Proc. 42.510/2013</t>
  </si>
  <si>
    <t>Atendimento de até 25 crianças, na faixa etária de 02 a 03 anos completos.</t>
  </si>
  <si>
    <t>010/2014 – Creche Comunitária – Proc. 42.511/2013</t>
  </si>
  <si>
    <t>Associação de Mães Amigas das Crianças Tia Bia Jardim Imperial – CNPJ 10.862.736/0001-22</t>
  </si>
  <si>
    <t>Atendimento de até 27 crianças, na faixa etária de 02 a 03 anos, 11 meses e 29 dias.</t>
  </si>
  <si>
    <t>011/2014 – SAÚDE/PSF – Proc. 45.100/2013</t>
  </si>
  <si>
    <t>012/2014 – Creche Comunitária – Proc. 42.506/2013</t>
  </si>
  <si>
    <t>Associação dos Moradores e Amigos do Bairro do Laranjal -  CNPJ 07.437.425/0001-01</t>
  </si>
  <si>
    <t>Estrada do Laranjal, s/nº Santa Maria do Laranjal, Atibaia/SP</t>
  </si>
  <si>
    <t>Atendimento de até 47 crianças, na faixa etária de 01 ano e meio a 06 anos completos.</t>
  </si>
  <si>
    <t>013/2014 – Creche Comunitária – Proc. 42.503/2013</t>
  </si>
  <si>
    <t>União dos Amigos dos Bairros do Itapetinga – UABI – CNPJ 00.983.589/001-95</t>
  </si>
  <si>
    <t>Atendimento de até 90 crianças, sendo 25 bebês de 06 meses a 01 anos e 11 meses e 65 crianças de 02 a 05 anos e 11 meses de idade.</t>
  </si>
  <si>
    <t>014/2014 – SADS/CMAS – Proc. 39.039/2013</t>
  </si>
  <si>
    <t>Executar o Programa Construindo Novos Caminhos.</t>
  </si>
  <si>
    <t>015/2014 – SADS/CMAS – Proc. 39.019/2013</t>
  </si>
  <si>
    <t>Execução do Projeto Abrigamento Institucional Centro de Apoio à Criança “Ninho de Luz”</t>
  </si>
  <si>
    <t>016/2014 – SADS/CMAS – Proc. 39.080/2013</t>
  </si>
  <si>
    <t>Casa do Pequeno Trabalhador de Atibaia – 44.706.869/0001-21</t>
  </si>
  <si>
    <t>Executar o Projeto “Promovendo Cidadania”, visando atuar junto às crianças e adolescentes no fortalecimento de seus vínculos familiares.</t>
  </si>
  <si>
    <t>017/2014 – SADS – Proc. 45.028/2013</t>
  </si>
  <si>
    <t>Executar o Programa de Orientação para Inclusão no Mercado de Trabalho – POIMT.</t>
  </si>
  <si>
    <t>031/2014 – Cultura – Proc. 46.326/2013 e T.A.</t>
  </si>
  <si>
    <t>099/2014 – SADS/CONDICA – Proc. 4.981/2014</t>
  </si>
  <si>
    <t>Liga RMC de Esportes – CNPJ 07.711.388/0001-88</t>
  </si>
  <si>
    <t>Rua Siqueira Campos, 17 – Sala 11, Sousas, Campinas/SP</t>
  </si>
  <si>
    <t>Execução do Projeto Brincando na Praça</t>
  </si>
  <si>
    <t>102/2014 – Melhor Escola – Proc, 13.986/2014</t>
  </si>
  <si>
    <t>APM da EMEI Professora Rosa Stavale Garcia – CNPJ 01.743.609/0001-13</t>
  </si>
  <si>
    <t>Rua Dulcídio Camargo Gonçalves, s/nº, Bairro do Tanque – Atibaia/SP</t>
  </si>
  <si>
    <t>Praça Antônio Scavone, s/nº – Caetetuba, Atibaia/SP</t>
  </si>
  <si>
    <t>107/20014 – Educação – Proc. 23.707/2014</t>
  </si>
  <si>
    <t>Execução do Projeto Ouvir</t>
  </si>
  <si>
    <t>110/2014 – Melhor Escola – Proc. 13.913/2014</t>
  </si>
  <si>
    <t>APM da EMEI Florêncio Pires de Camargo – CNPJ 00.983.584/0001-62</t>
  </si>
  <si>
    <t>Praça III Poderes, s/nº – Centro – Atibaia/SP</t>
  </si>
  <si>
    <t>113/2014 – Melhor Escola – Proc. 13.920/2014</t>
  </si>
  <si>
    <t>A.P.M. Da E.M.F. Prefeito Takao Ono – CNPJ 07.511.433/0001-50</t>
  </si>
  <si>
    <t>Rua Buenos Aires, s/nº. Jardim Imperial – Atibaia/SP</t>
  </si>
  <si>
    <t>109/2014 – SADS Proc. 19.149/2014 e 1º T A</t>
  </si>
  <si>
    <t>111/2014 – SADS – Proc. 25.251/2014</t>
  </si>
  <si>
    <t>Execução do Projeto Oficinas Socioeducativas – Transformar pela Prática</t>
  </si>
  <si>
    <t>114/2014 – SADS Proc. 13.920/2014</t>
  </si>
  <si>
    <t>Execução do Projeto Caminharte</t>
  </si>
  <si>
    <t>115/2014 – Melhor Escola – Proc. 13.923/2014</t>
  </si>
  <si>
    <t>A.P.M. da E.M.E.F. Eva Cordula Hauer Vallejo – CNPJ 07.434.351/0001-50</t>
  </si>
  <si>
    <t>116/2014 – Melhor Escola – Proc. 13.936/2014</t>
  </si>
  <si>
    <t>A.P.M. Do C.E.I Diretora Zilda Aparecida Silveira – CNPJ 01.993.168/0001-08</t>
  </si>
  <si>
    <t>Rua Bela Vista, 79 – Jardim Imperial – Atibaia/sp</t>
  </si>
  <si>
    <t>117/2014 – ESPORTES – Proc. 24.645/2014</t>
  </si>
  <si>
    <t>071/2014 – SADS – Proc. 9.766/2014 e 1º Termo Aditivo</t>
  </si>
  <si>
    <t>112/2014 – SADS/CONDICA – Proc. 20.468/2014</t>
  </si>
  <si>
    <t>Execução do Projeto Iluminarte</t>
  </si>
  <si>
    <t>118/2014 – Cultura Proc. 32.338/2014</t>
  </si>
  <si>
    <t>Execução do Projeto “Bonecos Gigantes</t>
  </si>
  <si>
    <t>2</t>
  </si>
  <si>
    <t>5</t>
  </si>
  <si>
    <t xml:space="preserve">Avenida Santana, 2.267, Itapetinga – Atibaia/SP </t>
  </si>
  <si>
    <t xml:space="preserve">018/2014 – SADS/CMAS – Proc. 39.020/2013 e 1º T A </t>
  </si>
  <si>
    <t xml:space="preserve">019/2014 – SADS/CMAS – Proc. 39.009/2013 e 1º T A </t>
  </si>
  <si>
    <t xml:space="preserve">033/2014 – SADS/CMAS – Proc. 45.027/2013  1º e 2º Termos Aditivos </t>
  </si>
  <si>
    <t xml:space="preserve">Rua José Inácio, 461 – Centro – Atibaia/SP </t>
  </si>
  <si>
    <t xml:space="preserve">Rua Esmeraldo Tarquínio, 346 – Bloco D – Jardim Tapajós, Atibaia/SP </t>
  </si>
  <si>
    <t xml:space="preserve">Rua Benedito Cirineu Mendes, s/nº – Jardim Alvinópolis – Atibaia/SP </t>
  </si>
  <si>
    <t xml:space="preserve">083/2014 – Melhor Escola – Proc. 13.937/2014 </t>
  </si>
  <si>
    <t>086/2014 – SADS Proc. 12.093/2014 e 1º e 2º T.A</t>
  </si>
  <si>
    <t xml:space="preserve">097/2014 – Esportes Proc. 18.917/2014 </t>
  </si>
  <si>
    <t xml:space="preserve">Associação de Basquete Atibaia – CNPJ 17.732.878/00001-14 </t>
  </si>
  <si>
    <t xml:space="preserve">108/2014 – SADS Proc. 12.121/2014 </t>
  </si>
  <si>
    <t>Atibaia, 30 de Novembro de 2014</t>
  </si>
  <si>
    <t>01 – 373.000,00</t>
  </si>
  <si>
    <t>05 – 27.000,00</t>
  </si>
  <si>
    <t>01 – 350.800,00</t>
  </si>
  <si>
    <t>VALOR REPASSADO NO EXERCÍCIO ATÉ 30/11/2014</t>
  </si>
  <si>
    <t>03</t>
  </si>
</sst>
</file>

<file path=xl/styles.xml><?xml version="1.0" encoding="utf-8"?>
<styleSheet xmlns="http://schemas.openxmlformats.org/spreadsheetml/2006/main">
  <numFmts count="1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dd/mm/yy"/>
    <numFmt numFmtId="165" formatCode="#,###.00;[Red]\-#,###.00"/>
  </numFmts>
  <fonts count="42"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b/>
      <sz val="14"/>
      <color indexed="2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b/>
      <sz val="14"/>
      <color rgb="FF005F89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CC2E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rgb="FFE5E5E5"/>
      </left>
      <right style="thin">
        <color rgb="FFE5E5E5"/>
      </right>
      <top style="thick">
        <color rgb="FFE5E5E5"/>
      </top>
      <bottom style="thick">
        <color rgb="FFE5E5E5"/>
      </bottom>
    </border>
    <border>
      <left style="thin">
        <color rgb="FFE5E5E5"/>
      </left>
      <right style="thin">
        <color rgb="FFE5E5E5"/>
      </right>
      <top style="thick">
        <color rgb="FFE5E5E5"/>
      </top>
      <bottom style="thick">
        <color rgb="FFE5E5E5"/>
      </bottom>
    </border>
    <border>
      <left style="thin">
        <color rgb="FFE5E5E5"/>
      </left>
      <right style="thick">
        <color rgb="FFE5E5E5"/>
      </right>
      <top style="thick">
        <color rgb="FFE5E5E5"/>
      </top>
      <bottom style="thick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ck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>
        <color indexed="63"/>
      </bottom>
    </border>
    <border>
      <left style="thin">
        <color rgb="FFE5E5E5"/>
      </left>
      <right style="thin">
        <color rgb="FFE5E5E5"/>
      </right>
      <top>
        <color indexed="63"/>
      </top>
      <bottom>
        <color indexed="63"/>
      </bottom>
    </border>
    <border>
      <left style="thin">
        <color rgb="FFE5E5E5"/>
      </left>
      <right style="thin">
        <color rgb="FFE5E5E5"/>
      </right>
      <top>
        <color indexed="63"/>
      </top>
      <bottom style="thin">
        <color rgb="FFE5E5E5"/>
      </bottom>
    </border>
    <border>
      <left>
        <color indexed="63"/>
      </left>
      <right>
        <color indexed="63"/>
      </right>
      <top>
        <color indexed="63"/>
      </top>
      <bottom style="thick">
        <color rgb="FFE5E5E5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2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justify"/>
    </xf>
    <xf numFmtId="4" fontId="0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40" fillId="33" borderId="10" xfId="0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left" vertical="center" wrapText="1" indent="1"/>
    </xf>
    <xf numFmtId="0" fontId="2" fillId="0" borderId="14" xfId="0" applyFont="1" applyBorder="1" applyAlignment="1">
      <alignment horizontal="left" vertical="center" wrapText="1" indent="1"/>
    </xf>
    <xf numFmtId="14" fontId="2" fillId="34" borderId="14" xfId="0" applyNumberFormat="1" applyFont="1" applyFill="1" applyBorder="1" applyAlignment="1">
      <alignment horizontal="center" vertical="center" wrapText="1"/>
    </xf>
    <xf numFmtId="43" fontId="2" fillId="34" borderId="14" xfId="0" applyNumberFormat="1" applyFont="1" applyFill="1" applyBorder="1" applyAlignment="1">
      <alignment horizontal="center" vertical="center"/>
    </xf>
    <xf numFmtId="49" fontId="2" fillId="34" borderId="14" xfId="0" applyNumberFormat="1" applyFont="1" applyFill="1" applyBorder="1" applyAlignment="1">
      <alignment horizontal="center" vertical="center" wrapText="1"/>
    </xf>
    <xf numFmtId="43" fontId="2" fillId="34" borderId="15" xfId="0" applyNumberFormat="1" applyFont="1" applyFill="1" applyBorder="1" applyAlignment="1">
      <alignment horizontal="center" vertical="center"/>
    </xf>
    <xf numFmtId="49" fontId="2" fillId="34" borderId="16" xfId="0" applyNumberFormat="1" applyFont="1" applyFill="1" applyBorder="1" applyAlignment="1">
      <alignment horizontal="center" vertical="center" wrapText="1"/>
    </xf>
    <xf numFmtId="43" fontId="2" fillId="34" borderId="17" xfId="0" applyNumberFormat="1" applyFont="1" applyFill="1" applyBorder="1" applyAlignment="1">
      <alignment horizontal="center" vertical="center"/>
    </xf>
    <xf numFmtId="14" fontId="2" fillId="34" borderId="16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3" fillId="34" borderId="14" xfId="0" applyFont="1" applyFill="1" applyBorder="1" applyAlignment="1">
      <alignment horizontal="justify" vertical="center" wrapText="1"/>
    </xf>
    <xf numFmtId="0" fontId="2" fillId="34" borderId="18" xfId="0" applyFont="1" applyFill="1" applyBorder="1" applyAlignment="1">
      <alignment horizontal="left" vertical="center" wrapText="1" indent="1"/>
    </xf>
    <xf numFmtId="0" fontId="2" fillId="0" borderId="19" xfId="0" applyFont="1" applyBorder="1" applyAlignment="1">
      <alignment horizontal="left" vertical="center" wrapText="1" indent="1"/>
    </xf>
    <xf numFmtId="14" fontId="2" fillId="34" borderId="19" xfId="0" applyNumberFormat="1" applyFont="1" applyFill="1" applyBorder="1" applyAlignment="1">
      <alignment horizontal="center" vertical="center" wrapText="1"/>
    </xf>
    <xf numFmtId="14" fontId="2" fillId="34" borderId="19" xfId="0" applyNumberFormat="1" applyFont="1" applyFill="1" applyBorder="1" applyAlignment="1">
      <alignment horizontal="center" vertical="center"/>
    </xf>
    <xf numFmtId="43" fontId="2" fillId="34" borderId="19" xfId="0" applyNumberFormat="1" applyFont="1" applyFill="1" applyBorder="1" applyAlignment="1">
      <alignment horizontal="center" vertical="center"/>
    </xf>
    <xf numFmtId="49" fontId="2" fillId="34" borderId="19" xfId="0" applyNumberFormat="1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justify" vertical="center" wrapText="1"/>
    </xf>
    <xf numFmtId="43" fontId="2" fillId="34" borderId="20" xfId="0" applyNumberFormat="1" applyFont="1" applyFill="1" applyBorder="1" applyAlignment="1">
      <alignment horizontal="center" vertical="center"/>
    </xf>
    <xf numFmtId="14" fontId="2" fillId="34" borderId="14" xfId="0" applyNumberFormat="1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justify" vertical="center" wrapText="1"/>
    </xf>
    <xf numFmtId="0" fontId="2" fillId="34" borderId="21" xfId="0" applyFont="1" applyFill="1" applyBorder="1" applyAlignment="1">
      <alignment horizontal="left" vertical="center" wrapText="1" indent="1"/>
    </xf>
    <xf numFmtId="0" fontId="2" fillId="0" borderId="16" xfId="0" applyFont="1" applyBorder="1" applyAlignment="1">
      <alignment horizontal="left" vertical="center" wrapText="1" indent="1"/>
    </xf>
    <xf numFmtId="14" fontId="2" fillId="34" borderId="16" xfId="0" applyNumberFormat="1" applyFont="1" applyFill="1" applyBorder="1" applyAlignment="1">
      <alignment horizontal="center" vertical="center" wrapText="1"/>
    </xf>
    <xf numFmtId="43" fontId="2" fillId="34" borderId="16" xfId="0" applyNumberFormat="1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vertical="center" wrapText="1"/>
    </xf>
    <xf numFmtId="0" fontId="2" fillId="34" borderId="21" xfId="0" applyFont="1" applyFill="1" applyBorder="1" applyAlignment="1">
      <alignment horizontal="left" vertical="center" wrapText="1" indent="1"/>
    </xf>
    <xf numFmtId="0" fontId="2" fillId="0" borderId="16" xfId="0" applyFont="1" applyBorder="1" applyAlignment="1">
      <alignment horizontal="left" vertical="center" wrapText="1" indent="1"/>
    </xf>
    <xf numFmtId="0" fontId="2" fillId="0" borderId="16" xfId="0" applyFont="1" applyBorder="1" applyAlignment="1">
      <alignment horizontal="center" vertical="center" wrapText="1"/>
    </xf>
    <xf numFmtId="14" fontId="2" fillId="34" borderId="16" xfId="0" applyNumberFormat="1" applyFont="1" applyFill="1" applyBorder="1" applyAlignment="1">
      <alignment horizontal="center" vertical="center" wrapText="1"/>
    </xf>
    <xf numFmtId="14" fontId="2" fillId="34" borderId="22" xfId="0" applyNumberFormat="1" applyFont="1" applyFill="1" applyBorder="1" applyAlignment="1">
      <alignment horizontal="center" vertical="center" wrapText="1"/>
    </xf>
    <xf numFmtId="14" fontId="2" fillId="34" borderId="23" xfId="0" applyNumberFormat="1" applyFont="1" applyFill="1" applyBorder="1" applyAlignment="1">
      <alignment horizontal="center" vertical="center" wrapText="1"/>
    </xf>
    <xf numFmtId="14" fontId="2" fillId="34" borderId="24" xfId="0" applyNumberFormat="1" applyFont="1" applyFill="1" applyBorder="1" applyAlignment="1">
      <alignment horizontal="center" vertical="center" wrapText="1"/>
    </xf>
    <xf numFmtId="43" fontId="2" fillId="34" borderId="16" xfId="0" applyNumberFormat="1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justify" vertical="center" wrapText="1"/>
    </xf>
    <xf numFmtId="0" fontId="1" fillId="0" borderId="0" xfId="0" applyFont="1" applyBorder="1" applyAlignment="1">
      <alignment horizontal="center"/>
    </xf>
    <xf numFmtId="0" fontId="41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 wrapText="1"/>
    </xf>
    <xf numFmtId="0" fontId="41" fillId="0" borderId="25" xfId="0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6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4"/>
  <sheetViews>
    <sheetView showGridLines="0" tabSelected="1" zoomScaleSheetLayoutView="100" zoomScalePageLayoutView="0" workbookViewId="0" topLeftCell="A125">
      <selection activeCell="H133" sqref="H133"/>
    </sheetView>
  </sheetViews>
  <sheetFormatPr defaultColWidth="11.57421875" defaultRowHeight="36.75" customHeight="1"/>
  <cols>
    <col min="1" max="1" width="22.7109375" style="0" customWidth="1"/>
    <col min="2" max="3" width="35.7109375" style="0" customWidth="1"/>
    <col min="4" max="4" width="15.7109375" style="0" customWidth="1"/>
    <col min="5" max="5" width="19.140625" style="0" customWidth="1"/>
    <col min="6" max="6" width="15.7109375" style="1" customWidth="1"/>
    <col min="7" max="7" width="14.7109375" style="2" customWidth="1"/>
    <col min="8" max="8" width="35.7109375" style="18" customWidth="1"/>
    <col min="9" max="9" width="15.7109375" style="3" customWidth="1"/>
  </cols>
  <sheetData>
    <row r="1" spans="1:9" ht="30" customHeight="1">
      <c r="A1" s="45" t="s">
        <v>0</v>
      </c>
      <c r="B1" s="45"/>
      <c r="C1" s="45"/>
      <c r="D1" s="45"/>
      <c r="E1" s="45"/>
      <c r="F1" s="45"/>
      <c r="G1" s="45"/>
      <c r="H1" s="45"/>
      <c r="I1" s="45"/>
    </row>
    <row r="2" spans="1:9" ht="30" customHeight="1">
      <c r="A2" s="46" t="s">
        <v>1</v>
      </c>
      <c r="B2" s="46"/>
      <c r="C2" s="46"/>
      <c r="D2" s="46"/>
      <c r="E2" s="46"/>
      <c r="F2" s="46"/>
      <c r="G2" s="46"/>
      <c r="H2" s="46"/>
      <c r="I2" s="46"/>
    </row>
    <row r="3" spans="1:9" ht="30" customHeight="1">
      <c r="A3" s="45" t="s">
        <v>2</v>
      </c>
      <c r="B3" s="45"/>
      <c r="C3" s="45"/>
      <c r="D3" s="45"/>
      <c r="E3" s="45"/>
      <c r="F3" s="45"/>
      <c r="G3" s="45"/>
      <c r="H3" s="45"/>
      <c r="I3" s="45"/>
    </row>
    <row r="4" spans="1:9" ht="30" customHeight="1" thickBot="1">
      <c r="A4" s="47" t="s">
        <v>3</v>
      </c>
      <c r="B4" s="47"/>
      <c r="C4" s="47"/>
      <c r="D4" s="47"/>
      <c r="E4" s="47"/>
      <c r="F4" s="47"/>
      <c r="G4" s="47"/>
      <c r="H4" s="47"/>
      <c r="I4" s="47"/>
    </row>
    <row r="5" spans="1:9" s="4" customFormat="1" ht="49.5" customHeight="1" thickBot="1" thickTop="1">
      <c r="A5" s="6" t="s">
        <v>4</v>
      </c>
      <c r="B5" s="7" t="s">
        <v>5</v>
      </c>
      <c r="C5" s="7" t="s">
        <v>6</v>
      </c>
      <c r="D5" s="7" t="s">
        <v>7</v>
      </c>
      <c r="E5" s="7" t="s">
        <v>8</v>
      </c>
      <c r="F5" s="7" t="s">
        <v>9</v>
      </c>
      <c r="G5" s="7" t="s">
        <v>10</v>
      </c>
      <c r="H5" s="7" t="s">
        <v>11</v>
      </c>
      <c r="I5" s="8" t="s">
        <v>379</v>
      </c>
    </row>
    <row r="6" spans="1:9" s="5" customFormat="1" ht="60" customHeight="1" thickTop="1">
      <c r="A6" s="20" t="s">
        <v>263</v>
      </c>
      <c r="B6" s="21" t="s">
        <v>264</v>
      </c>
      <c r="C6" s="21" t="s">
        <v>265</v>
      </c>
      <c r="D6" s="22">
        <v>41361</v>
      </c>
      <c r="E6" s="23">
        <v>41670</v>
      </c>
      <c r="F6" s="24">
        <v>1600000</v>
      </c>
      <c r="G6" s="25" t="s">
        <v>12</v>
      </c>
      <c r="H6" s="26" t="s">
        <v>266</v>
      </c>
      <c r="I6" s="27">
        <f>82217.13+1656.21</f>
        <v>83873.34000000001</v>
      </c>
    </row>
    <row r="7" spans="1:9" s="5" customFormat="1" ht="60" customHeight="1">
      <c r="A7" s="35" t="s">
        <v>267</v>
      </c>
      <c r="B7" s="36" t="s">
        <v>13</v>
      </c>
      <c r="C7" s="36" t="s">
        <v>268</v>
      </c>
      <c r="D7" s="38">
        <v>41396</v>
      </c>
      <c r="E7" s="38" t="s">
        <v>269</v>
      </c>
      <c r="F7" s="42">
        <v>246400</v>
      </c>
      <c r="G7" s="15" t="s">
        <v>361</v>
      </c>
      <c r="H7" s="43" t="s">
        <v>270</v>
      </c>
      <c r="I7" s="16">
        <v>10500</v>
      </c>
    </row>
    <row r="8" spans="1:9" s="5" customFormat="1" ht="60" customHeight="1">
      <c r="A8" s="35"/>
      <c r="B8" s="36"/>
      <c r="C8" s="36"/>
      <c r="D8" s="38"/>
      <c r="E8" s="38"/>
      <c r="F8" s="42"/>
      <c r="G8" s="15" t="s">
        <v>362</v>
      </c>
      <c r="H8" s="43"/>
      <c r="I8" s="16">
        <v>3250</v>
      </c>
    </row>
    <row r="9" spans="1:9" s="5" customFormat="1" ht="60" customHeight="1">
      <c r="A9" s="30" t="s">
        <v>271</v>
      </c>
      <c r="B9" s="31" t="s">
        <v>14</v>
      </c>
      <c r="C9" s="31" t="s">
        <v>15</v>
      </c>
      <c r="D9" s="32">
        <v>41626</v>
      </c>
      <c r="E9" s="32" t="s">
        <v>272</v>
      </c>
      <c r="F9" s="33">
        <v>49601</v>
      </c>
      <c r="G9" s="15" t="s">
        <v>16</v>
      </c>
      <c r="H9" s="29" t="s">
        <v>273</v>
      </c>
      <c r="I9" s="16">
        <v>8415</v>
      </c>
    </row>
    <row r="10" spans="1:9" s="5" customFormat="1" ht="60" customHeight="1">
      <c r="A10" s="30" t="s">
        <v>274</v>
      </c>
      <c r="B10" s="31" t="s">
        <v>17</v>
      </c>
      <c r="C10" s="31" t="s">
        <v>18</v>
      </c>
      <c r="D10" s="32">
        <v>41626</v>
      </c>
      <c r="E10" s="32" t="s">
        <v>272</v>
      </c>
      <c r="F10" s="33">
        <v>47300</v>
      </c>
      <c r="G10" s="15" t="s">
        <v>16</v>
      </c>
      <c r="H10" s="29" t="s">
        <v>275</v>
      </c>
      <c r="I10" s="16">
        <v>7300</v>
      </c>
    </row>
    <row r="11" spans="1:9" s="5" customFormat="1" ht="60" customHeight="1">
      <c r="A11" s="35"/>
      <c r="B11" s="36" t="s">
        <v>276</v>
      </c>
      <c r="C11" s="37" t="s">
        <v>277</v>
      </c>
      <c r="D11" s="38">
        <v>41640</v>
      </c>
      <c r="E11" s="38">
        <v>42004</v>
      </c>
      <c r="F11" s="42">
        <f>4420000+13352000+4368000+172000+150000+200000+735000+122000+500004</f>
        <v>24019004</v>
      </c>
      <c r="G11" s="15" t="s">
        <v>12</v>
      </c>
      <c r="H11" s="34" t="s">
        <v>278</v>
      </c>
      <c r="I11" s="16">
        <f>616000+860666.66+1648666.66+1476666.66+1476666.66+1476666.66+1476666.66+1476666.66+1476666.66+1976670.66+1476666.66</f>
        <v>15438670.600000001</v>
      </c>
    </row>
    <row r="12" spans="1:9" s="5" customFormat="1" ht="60" customHeight="1">
      <c r="A12" s="35"/>
      <c r="B12" s="36"/>
      <c r="C12" s="37"/>
      <c r="D12" s="38"/>
      <c r="E12" s="38"/>
      <c r="F12" s="42"/>
      <c r="G12" s="15" t="s">
        <v>16</v>
      </c>
      <c r="H12" s="34"/>
      <c r="I12" s="16">
        <f>560000+525000</f>
        <v>1085000</v>
      </c>
    </row>
    <row r="13" spans="1:9" s="5" customFormat="1" ht="60" customHeight="1">
      <c r="A13" s="35"/>
      <c r="B13" s="36"/>
      <c r="C13" s="37"/>
      <c r="D13" s="38"/>
      <c r="E13" s="38"/>
      <c r="F13" s="42"/>
      <c r="G13" s="15" t="s">
        <v>19</v>
      </c>
      <c r="H13" s="34"/>
      <c r="I13" s="16">
        <f>368333.34+368333.34+368333.34+368333.34+368333.34+368333.34+368333.34+392733.34+392733.34+392733.34</f>
        <v>3756533.3999999994</v>
      </c>
    </row>
    <row r="14" spans="1:9" s="5" customFormat="1" ht="60" customHeight="1">
      <c r="A14" s="30"/>
      <c r="B14" s="31" t="s">
        <v>276</v>
      </c>
      <c r="C14" s="31" t="s">
        <v>277</v>
      </c>
      <c r="D14" s="32">
        <v>41634</v>
      </c>
      <c r="E14" s="17">
        <v>41656</v>
      </c>
      <c r="F14" s="33">
        <v>69800</v>
      </c>
      <c r="G14" s="15" t="s">
        <v>12</v>
      </c>
      <c r="H14" s="29" t="s">
        <v>279</v>
      </c>
      <c r="I14" s="16">
        <v>69800</v>
      </c>
    </row>
    <row r="15" spans="1:9" s="5" customFormat="1" ht="60" customHeight="1">
      <c r="A15" s="35"/>
      <c r="B15" s="36" t="s">
        <v>276</v>
      </c>
      <c r="C15" s="37" t="s">
        <v>277</v>
      </c>
      <c r="D15" s="38">
        <v>41637</v>
      </c>
      <c r="E15" s="38">
        <v>42001</v>
      </c>
      <c r="F15" s="42">
        <f>6206200+2100000+1260000+57400</f>
        <v>9623600</v>
      </c>
      <c r="G15" s="15" t="s">
        <v>12</v>
      </c>
      <c r="H15" s="34" t="s">
        <v>279</v>
      </c>
      <c r="I15" s="16">
        <f>231000+292000+523000+523000+523000+523000+523000+523000+523000+523000+523000</f>
        <v>5230000</v>
      </c>
    </row>
    <row r="16" spans="1:9" s="5" customFormat="1" ht="60" customHeight="1">
      <c r="A16" s="35"/>
      <c r="B16" s="36"/>
      <c r="C16" s="37"/>
      <c r="D16" s="38"/>
      <c r="E16" s="38"/>
      <c r="F16" s="42"/>
      <c r="G16" s="15" t="s">
        <v>16</v>
      </c>
      <c r="H16" s="34"/>
      <c r="I16" s="16">
        <f>420000+105000</f>
        <v>525000</v>
      </c>
    </row>
    <row r="17" spans="1:9" s="5" customFormat="1" ht="60" customHeight="1">
      <c r="A17" s="35"/>
      <c r="B17" s="36"/>
      <c r="C17" s="37"/>
      <c r="D17" s="38"/>
      <c r="E17" s="38"/>
      <c r="F17" s="42"/>
      <c r="G17" s="15" t="s">
        <v>19</v>
      </c>
      <c r="H17" s="34"/>
      <c r="I17" s="16">
        <f>175000+175000+175000+175000+175000+232400+175000+175000+175000+175000</f>
        <v>1807400</v>
      </c>
    </row>
    <row r="18" spans="1:9" s="5" customFormat="1" ht="60" customHeight="1">
      <c r="A18" s="30" t="s">
        <v>280</v>
      </c>
      <c r="B18" s="31" t="s">
        <v>281</v>
      </c>
      <c r="C18" s="31" t="s">
        <v>282</v>
      </c>
      <c r="D18" s="32">
        <v>41641</v>
      </c>
      <c r="E18" s="17">
        <v>42004</v>
      </c>
      <c r="F18" s="33">
        <v>450780</v>
      </c>
      <c r="G18" s="15" t="s">
        <v>16</v>
      </c>
      <c r="H18" s="29" t="s">
        <v>283</v>
      </c>
      <c r="I18" s="16">
        <f>37565+37565+37565+37565+37565+37565+37565+37565+37565+37565+37565</f>
        <v>413215</v>
      </c>
    </row>
    <row r="19" spans="1:9" s="5" customFormat="1" ht="60" customHeight="1">
      <c r="A19" s="30" t="s">
        <v>284</v>
      </c>
      <c r="B19" s="31" t="s">
        <v>20</v>
      </c>
      <c r="C19" s="31" t="s">
        <v>21</v>
      </c>
      <c r="D19" s="32">
        <v>41641</v>
      </c>
      <c r="E19" s="17">
        <v>42004</v>
      </c>
      <c r="F19" s="33">
        <v>70560</v>
      </c>
      <c r="G19" s="15" t="s">
        <v>16</v>
      </c>
      <c r="H19" s="29" t="s">
        <v>285</v>
      </c>
      <c r="I19" s="16">
        <f>5880+5880+5880+5880+5880+5880+5880+5880+5880+5880+5880</f>
        <v>64680</v>
      </c>
    </row>
    <row r="20" spans="1:9" s="5" customFormat="1" ht="60" customHeight="1">
      <c r="A20" s="30" t="s">
        <v>286</v>
      </c>
      <c r="B20" s="31" t="s">
        <v>287</v>
      </c>
      <c r="C20" s="31" t="s">
        <v>288</v>
      </c>
      <c r="D20" s="32">
        <v>41641</v>
      </c>
      <c r="E20" s="17">
        <v>42004</v>
      </c>
      <c r="F20" s="33">
        <v>470400</v>
      </c>
      <c r="G20" s="15" t="s">
        <v>16</v>
      </c>
      <c r="H20" s="29" t="s">
        <v>289</v>
      </c>
      <c r="I20" s="16">
        <f>39200+39200+39200+39200+39200+39200+39200+39200+39200+39200+39200</f>
        <v>431200</v>
      </c>
    </row>
    <row r="21" spans="1:9" s="5" customFormat="1" ht="60" customHeight="1">
      <c r="A21" s="30" t="s">
        <v>290</v>
      </c>
      <c r="B21" s="31" t="s">
        <v>22</v>
      </c>
      <c r="C21" s="31" t="s">
        <v>23</v>
      </c>
      <c r="D21" s="32">
        <v>41641</v>
      </c>
      <c r="E21" s="17">
        <v>42004</v>
      </c>
      <c r="F21" s="33">
        <v>60000</v>
      </c>
      <c r="G21" s="15" t="s">
        <v>12</v>
      </c>
      <c r="H21" s="29" t="s">
        <v>291</v>
      </c>
      <c r="I21" s="16">
        <f>5000+5000+5000+5000+5000+5000+5000+5000+5000+5000+5000</f>
        <v>55000</v>
      </c>
    </row>
    <row r="22" spans="1:9" s="5" customFormat="1" ht="60" customHeight="1">
      <c r="A22" s="30" t="s">
        <v>292</v>
      </c>
      <c r="B22" s="31" t="s">
        <v>24</v>
      </c>
      <c r="C22" s="31" t="s">
        <v>25</v>
      </c>
      <c r="D22" s="32">
        <v>41641</v>
      </c>
      <c r="E22" s="17">
        <v>42004</v>
      </c>
      <c r="F22" s="33">
        <v>485460</v>
      </c>
      <c r="G22" s="15" t="s">
        <v>12</v>
      </c>
      <c r="H22" s="29" t="s">
        <v>293</v>
      </c>
      <c r="I22" s="16">
        <f>37107+37944+38223+38223+38781+39060+39060+39618+39339+39618+39339</f>
        <v>426312</v>
      </c>
    </row>
    <row r="23" spans="1:9" s="5" customFormat="1" ht="60" customHeight="1">
      <c r="A23" s="30" t="s">
        <v>294</v>
      </c>
      <c r="B23" s="31" t="s">
        <v>295</v>
      </c>
      <c r="C23" s="31" t="s">
        <v>296</v>
      </c>
      <c r="D23" s="32">
        <v>41641</v>
      </c>
      <c r="E23" s="17">
        <v>42004</v>
      </c>
      <c r="F23" s="33">
        <v>127008</v>
      </c>
      <c r="G23" s="15" t="s">
        <v>16</v>
      </c>
      <c r="H23" s="29" t="s">
        <v>297</v>
      </c>
      <c r="I23" s="16">
        <f>10584+10584+10584+10584+10584+10584+10584+10584+10584+10584+10584</f>
        <v>116424</v>
      </c>
    </row>
    <row r="24" spans="1:9" s="5" customFormat="1" ht="60" customHeight="1">
      <c r="A24" s="30" t="s">
        <v>298</v>
      </c>
      <c r="B24" s="31" t="s">
        <v>299</v>
      </c>
      <c r="C24" s="31" t="s">
        <v>300</v>
      </c>
      <c r="D24" s="32">
        <v>41641</v>
      </c>
      <c r="E24" s="17">
        <v>42004</v>
      </c>
      <c r="F24" s="33">
        <v>233160</v>
      </c>
      <c r="G24" s="15" t="s">
        <v>16</v>
      </c>
      <c r="H24" s="29" t="s">
        <v>301</v>
      </c>
      <c r="I24" s="16">
        <f>19430+19430+19430+19430+19430+19430+19430+19430+19430+19430+19430</f>
        <v>213730</v>
      </c>
    </row>
    <row r="25" spans="1:9" s="5" customFormat="1" ht="60" customHeight="1">
      <c r="A25" s="30" t="s">
        <v>302</v>
      </c>
      <c r="B25" s="31" t="s">
        <v>303</v>
      </c>
      <c r="C25" s="31" t="s">
        <v>304</v>
      </c>
      <c r="D25" s="32">
        <v>41641</v>
      </c>
      <c r="E25" s="17">
        <v>42004</v>
      </c>
      <c r="F25" s="33">
        <v>70560</v>
      </c>
      <c r="G25" s="15" t="s">
        <v>16</v>
      </c>
      <c r="H25" s="29" t="s">
        <v>305</v>
      </c>
      <c r="I25" s="16">
        <f>5880+5880+5880+5880+5880+5880+5880+5880+5880+5880+5880</f>
        <v>64680</v>
      </c>
    </row>
    <row r="26" spans="1:9" s="5" customFormat="1" ht="60" customHeight="1">
      <c r="A26" s="30" t="s">
        <v>306</v>
      </c>
      <c r="B26" s="31" t="s">
        <v>14</v>
      </c>
      <c r="C26" s="31" t="s">
        <v>15</v>
      </c>
      <c r="D26" s="32">
        <v>41641</v>
      </c>
      <c r="E26" s="17">
        <v>42004</v>
      </c>
      <c r="F26" s="33">
        <v>58800</v>
      </c>
      <c r="G26" s="15" t="s">
        <v>16</v>
      </c>
      <c r="H26" s="29" t="s">
        <v>307</v>
      </c>
      <c r="I26" s="16">
        <f>4900+4900+4900+4900+4900+4900+4900+4900+4900+4900+4900</f>
        <v>53900</v>
      </c>
    </row>
    <row r="27" spans="1:9" s="5" customFormat="1" ht="60" customHeight="1">
      <c r="A27" s="30" t="s">
        <v>308</v>
      </c>
      <c r="B27" s="31" t="s">
        <v>309</v>
      </c>
      <c r="C27" s="31" t="s">
        <v>26</v>
      </c>
      <c r="D27" s="32">
        <v>41641</v>
      </c>
      <c r="E27" s="17">
        <v>42004</v>
      </c>
      <c r="F27" s="33">
        <v>63504</v>
      </c>
      <c r="G27" s="15" t="s">
        <v>16</v>
      </c>
      <c r="H27" s="29" t="s">
        <v>310</v>
      </c>
      <c r="I27" s="16">
        <f>5292+5292+5292+5292+5292+5292+5292+5292+5292+5292+5292</f>
        <v>58212</v>
      </c>
    </row>
    <row r="28" spans="1:9" s="5" customFormat="1" ht="60" customHeight="1">
      <c r="A28" s="35" t="s">
        <v>311</v>
      </c>
      <c r="B28" s="36" t="s">
        <v>264</v>
      </c>
      <c r="C28" s="36" t="s">
        <v>265</v>
      </c>
      <c r="D28" s="38">
        <v>41641</v>
      </c>
      <c r="E28" s="38">
        <v>42004</v>
      </c>
      <c r="F28" s="42">
        <v>950000</v>
      </c>
      <c r="G28" s="15" t="s">
        <v>12</v>
      </c>
      <c r="H28" s="43" t="s">
        <v>266</v>
      </c>
      <c r="I28" s="16">
        <f>56552.21+44636.93+33807.1+10294.51+5607.35+18430.77</f>
        <v>169328.87</v>
      </c>
    </row>
    <row r="29" spans="1:9" s="5" customFormat="1" ht="60" customHeight="1">
      <c r="A29" s="35"/>
      <c r="B29" s="36"/>
      <c r="C29" s="36"/>
      <c r="D29" s="38"/>
      <c r="E29" s="38"/>
      <c r="F29" s="42"/>
      <c r="G29" s="15" t="s">
        <v>19</v>
      </c>
      <c r="H29" s="43"/>
      <c r="I29" s="16">
        <f>57910+57910+59502.11+44137.43+47044.95+50283.17+57139.78+45895.01+50622.64+83079.42</f>
        <v>553524.51</v>
      </c>
    </row>
    <row r="30" spans="1:9" s="5" customFormat="1" ht="60" customHeight="1">
      <c r="A30" s="30" t="s">
        <v>312</v>
      </c>
      <c r="B30" s="31" t="s">
        <v>313</v>
      </c>
      <c r="C30" s="31" t="s">
        <v>314</v>
      </c>
      <c r="D30" s="32">
        <v>41641</v>
      </c>
      <c r="E30" s="17">
        <v>42004</v>
      </c>
      <c r="F30" s="33">
        <v>110544</v>
      </c>
      <c r="G30" s="15" t="s">
        <v>16</v>
      </c>
      <c r="H30" s="29" t="s">
        <v>315</v>
      </c>
      <c r="I30" s="16">
        <f>9212+9212+9212+9212+9212+9212+9212+9212+9212+9212+9212</f>
        <v>101332</v>
      </c>
    </row>
    <row r="31" spans="1:9" s="5" customFormat="1" ht="60" customHeight="1">
      <c r="A31" s="30" t="s">
        <v>316</v>
      </c>
      <c r="B31" s="31" t="s">
        <v>317</v>
      </c>
      <c r="C31" s="31" t="s">
        <v>363</v>
      </c>
      <c r="D31" s="32">
        <v>41641</v>
      </c>
      <c r="E31" s="17">
        <v>42004</v>
      </c>
      <c r="F31" s="33">
        <v>249180</v>
      </c>
      <c r="G31" s="15" t="s">
        <v>16</v>
      </c>
      <c r="H31" s="29" t="s">
        <v>318</v>
      </c>
      <c r="I31" s="16">
        <f>20765+20765+20765+20765+20765+20765+20765+20765+20765+20765+20765</f>
        <v>228415</v>
      </c>
    </row>
    <row r="32" spans="1:9" s="5" customFormat="1" ht="60" customHeight="1">
      <c r="A32" s="30" t="s">
        <v>319</v>
      </c>
      <c r="B32" s="31" t="s">
        <v>24</v>
      </c>
      <c r="C32" s="31" t="s">
        <v>25</v>
      </c>
      <c r="D32" s="32">
        <v>41641</v>
      </c>
      <c r="E32" s="17">
        <v>42004</v>
      </c>
      <c r="F32" s="33">
        <v>35000</v>
      </c>
      <c r="G32" s="15" t="s">
        <v>12</v>
      </c>
      <c r="H32" s="29" t="s">
        <v>320</v>
      </c>
      <c r="I32" s="16">
        <f>2924+2916+2916+2916+2916+2916+2916+2916+2916+2916+2916</f>
        <v>32084</v>
      </c>
    </row>
    <row r="33" spans="1:9" s="5" customFormat="1" ht="60" customHeight="1">
      <c r="A33" s="35" t="s">
        <v>321</v>
      </c>
      <c r="B33" s="36" t="s">
        <v>27</v>
      </c>
      <c r="C33" s="36" t="s">
        <v>28</v>
      </c>
      <c r="D33" s="38">
        <v>41641</v>
      </c>
      <c r="E33" s="38" t="s">
        <v>29</v>
      </c>
      <c r="F33" s="42">
        <v>400000</v>
      </c>
      <c r="G33" s="15" t="s">
        <v>376</v>
      </c>
      <c r="H33" s="43" t="s">
        <v>322</v>
      </c>
      <c r="I33" s="16">
        <f>31087+33333+33333+33333+33333+33333+33333+33333+31083+31083+31083</f>
        <v>357667</v>
      </c>
    </row>
    <row r="34" spans="1:9" s="5" customFormat="1" ht="60" customHeight="1">
      <c r="A34" s="35"/>
      <c r="B34" s="36"/>
      <c r="C34" s="36"/>
      <c r="D34" s="38"/>
      <c r="E34" s="38"/>
      <c r="F34" s="42"/>
      <c r="G34" s="15" t="s">
        <v>377</v>
      </c>
      <c r="H34" s="43"/>
      <c r="I34" s="16">
        <f>2250+2250+2250+2250</f>
        <v>9000</v>
      </c>
    </row>
    <row r="35" spans="1:9" s="5" customFormat="1" ht="60" customHeight="1">
      <c r="A35" s="30" t="s">
        <v>323</v>
      </c>
      <c r="B35" s="31" t="s">
        <v>324</v>
      </c>
      <c r="C35" s="31" t="s">
        <v>30</v>
      </c>
      <c r="D35" s="32">
        <v>41641</v>
      </c>
      <c r="E35" s="17">
        <v>42004</v>
      </c>
      <c r="F35" s="33">
        <v>72000</v>
      </c>
      <c r="G35" s="15" t="s">
        <v>12</v>
      </c>
      <c r="H35" s="29" t="s">
        <v>325</v>
      </c>
      <c r="I35" s="16">
        <f>5773.72+5773.72+5773.72+6080+6080+6080+6080+6080+6080+6080+6080</f>
        <v>65961.16</v>
      </c>
    </row>
    <row r="36" spans="1:9" s="5" customFormat="1" ht="60" customHeight="1">
      <c r="A36" s="30" t="s">
        <v>326</v>
      </c>
      <c r="B36" s="31" t="s">
        <v>24</v>
      </c>
      <c r="C36" s="31" t="s">
        <v>25</v>
      </c>
      <c r="D36" s="32">
        <v>41641</v>
      </c>
      <c r="E36" s="17" t="s">
        <v>29</v>
      </c>
      <c r="F36" s="33">
        <v>34020</v>
      </c>
      <c r="G36" s="15" t="s">
        <v>19</v>
      </c>
      <c r="H36" s="29" t="s">
        <v>327</v>
      </c>
      <c r="I36" s="16">
        <f>2835+2835+2835+2835+2835+2835+2835+2835+2835+2835+2835</f>
        <v>31185</v>
      </c>
    </row>
    <row r="37" spans="1:9" s="5" customFormat="1" ht="60" customHeight="1">
      <c r="A37" s="30" t="s">
        <v>364</v>
      </c>
      <c r="B37" s="31" t="s">
        <v>31</v>
      </c>
      <c r="C37" s="31" t="s">
        <v>32</v>
      </c>
      <c r="D37" s="32">
        <v>41641</v>
      </c>
      <c r="E37" s="17">
        <v>42004</v>
      </c>
      <c r="F37" s="33">
        <v>117959.11</v>
      </c>
      <c r="G37" s="15" t="s">
        <v>12</v>
      </c>
      <c r="H37" s="29" t="s">
        <v>33</v>
      </c>
      <c r="I37" s="16">
        <f>6000+6000+6000+6000+6000+6000+11519.11+6000+5470+6000+6010+6000+5740+6000+5740+6000+5740</f>
        <v>106219.11</v>
      </c>
    </row>
    <row r="38" spans="1:9" s="5" customFormat="1" ht="60" customHeight="1">
      <c r="A38" s="35" t="s">
        <v>365</v>
      </c>
      <c r="B38" s="36" t="s">
        <v>31</v>
      </c>
      <c r="C38" s="36" t="s">
        <v>32</v>
      </c>
      <c r="D38" s="38">
        <v>41641</v>
      </c>
      <c r="E38" s="38">
        <v>42004</v>
      </c>
      <c r="F38" s="42">
        <f>250000+85000+60150</f>
        <v>395150</v>
      </c>
      <c r="G38" s="15" t="s">
        <v>12</v>
      </c>
      <c r="H38" s="43" t="s">
        <v>34</v>
      </c>
      <c r="I38" s="16">
        <f>20833.37+20833.33+20833.33+29000+20833.33+14000+20833.33+14000+20833.33+14000+20833.33+14000+20833.33+20833.33+20833.33+20833.33</f>
        <v>314166.6700000001</v>
      </c>
    </row>
    <row r="39" spans="1:9" s="5" customFormat="1" ht="60" customHeight="1">
      <c r="A39" s="35"/>
      <c r="B39" s="36"/>
      <c r="C39" s="36"/>
      <c r="D39" s="38"/>
      <c r="E39" s="38"/>
      <c r="F39" s="42"/>
      <c r="G39" s="15" t="s">
        <v>19</v>
      </c>
      <c r="H39" s="43"/>
      <c r="I39" s="16">
        <f>23193.84+3618.72+3618.72+3618.72+8700</f>
        <v>42750</v>
      </c>
    </row>
    <row r="40" spans="1:9" s="5" customFormat="1" ht="60" customHeight="1">
      <c r="A40" s="30" t="s">
        <v>35</v>
      </c>
      <c r="B40" s="31" t="s">
        <v>31</v>
      </c>
      <c r="C40" s="31" t="s">
        <v>32</v>
      </c>
      <c r="D40" s="32">
        <v>41641</v>
      </c>
      <c r="E40" s="17">
        <v>42004</v>
      </c>
      <c r="F40" s="33">
        <v>72000</v>
      </c>
      <c r="G40" s="15" t="s">
        <v>12</v>
      </c>
      <c r="H40" s="29" t="s">
        <v>36</v>
      </c>
      <c r="I40" s="16">
        <f>6000+6000+6000+6000+6000+6000+6000+6000+6000+6000+6000</f>
        <v>66000</v>
      </c>
    </row>
    <row r="41" spans="1:9" s="5" customFormat="1" ht="60" customHeight="1">
      <c r="A41" s="30" t="s">
        <v>37</v>
      </c>
      <c r="B41" s="31" t="s">
        <v>38</v>
      </c>
      <c r="C41" s="31" t="s">
        <v>39</v>
      </c>
      <c r="D41" s="32">
        <v>41641</v>
      </c>
      <c r="E41" s="17">
        <v>42004</v>
      </c>
      <c r="F41" s="33">
        <v>96000</v>
      </c>
      <c r="G41" s="15" t="s">
        <v>12</v>
      </c>
      <c r="H41" s="29" t="s">
        <v>40</v>
      </c>
      <c r="I41" s="16">
        <f>8000+8000+8000+8000+8000+8000+8000+8000+8000+8000+8000</f>
        <v>88000</v>
      </c>
    </row>
    <row r="42" spans="1:9" s="5" customFormat="1" ht="60" customHeight="1">
      <c r="A42" s="30" t="s">
        <v>41</v>
      </c>
      <c r="B42" s="31" t="s">
        <v>42</v>
      </c>
      <c r="C42" s="31" t="s">
        <v>43</v>
      </c>
      <c r="D42" s="32">
        <v>41641</v>
      </c>
      <c r="E42" s="17">
        <v>42004</v>
      </c>
      <c r="F42" s="33">
        <v>91728</v>
      </c>
      <c r="G42" s="15" t="s">
        <v>16</v>
      </c>
      <c r="H42" s="29" t="s">
        <v>44</v>
      </c>
      <c r="I42" s="16">
        <f>7644+7644+7644+7644+7644+7644+7644+7644+7644+7644+7644</f>
        <v>84084</v>
      </c>
    </row>
    <row r="43" spans="1:9" s="5" customFormat="1" ht="60" customHeight="1">
      <c r="A43" s="30" t="s">
        <v>45</v>
      </c>
      <c r="B43" s="31" t="s">
        <v>46</v>
      </c>
      <c r="C43" s="31" t="s">
        <v>47</v>
      </c>
      <c r="D43" s="32">
        <v>41641</v>
      </c>
      <c r="E43" s="17">
        <v>42004</v>
      </c>
      <c r="F43" s="33">
        <v>82320</v>
      </c>
      <c r="G43" s="15" t="s">
        <v>16</v>
      </c>
      <c r="H43" s="29" t="s">
        <v>48</v>
      </c>
      <c r="I43" s="16">
        <f>6860+6860+6860+6860+6860+6860+6860+6860+6860+6860+6860</f>
        <v>75460</v>
      </c>
    </row>
    <row r="44" spans="1:9" s="5" customFormat="1" ht="60" customHeight="1">
      <c r="A44" s="35" t="s">
        <v>49</v>
      </c>
      <c r="B44" s="36" t="s">
        <v>13</v>
      </c>
      <c r="C44" s="36" t="s">
        <v>50</v>
      </c>
      <c r="D44" s="38">
        <v>41641</v>
      </c>
      <c r="E44" s="38" t="s">
        <v>29</v>
      </c>
      <c r="F44" s="42">
        <f>400000-22200</f>
        <v>377800</v>
      </c>
      <c r="G44" s="15" t="s">
        <v>378</v>
      </c>
      <c r="H44" s="43" t="s">
        <v>51</v>
      </c>
      <c r="I44" s="16">
        <f>31087+35583+33333+33333+33333+33333+31883+31883+29633+29633+27766</f>
        <v>350800</v>
      </c>
    </row>
    <row r="45" spans="1:9" s="5" customFormat="1" ht="60" customHeight="1">
      <c r="A45" s="35"/>
      <c r="B45" s="36"/>
      <c r="C45" s="36"/>
      <c r="D45" s="38"/>
      <c r="E45" s="38"/>
      <c r="F45" s="42"/>
      <c r="G45" s="15" t="s">
        <v>377</v>
      </c>
      <c r="H45" s="43"/>
      <c r="I45" s="16">
        <f>2250+2250+4117</f>
        <v>8617</v>
      </c>
    </row>
    <row r="46" spans="1:9" s="5" customFormat="1" ht="60" customHeight="1">
      <c r="A46" s="30" t="s">
        <v>52</v>
      </c>
      <c r="B46" s="31" t="s">
        <v>24</v>
      </c>
      <c r="C46" s="31" t="s">
        <v>25</v>
      </c>
      <c r="D46" s="32">
        <v>41641</v>
      </c>
      <c r="E46" s="17">
        <v>42004</v>
      </c>
      <c r="F46" s="33">
        <v>234000</v>
      </c>
      <c r="G46" s="15" t="s">
        <v>12</v>
      </c>
      <c r="H46" s="29" t="s">
        <v>53</v>
      </c>
      <c r="I46" s="16">
        <f>19500+19500+19500+19500+19500+19500+19500+19500+19500+19500+19500</f>
        <v>214500</v>
      </c>
    </row>
    <row r="47" spans="1:9" s="5" customFormat="1" ht="60" customHeight="1">
      <c r="A47" s="35" t="s">
        <v>54</v>
      </c>
      <c r="B47" s="36" t="s">
        <v>13</v>
      </c>
      <c r="C47" s="36" t="s">
        <v>50</v>
      </c>
      <c r="D47" s="38">
        <v>41641</v>
      </c>
      <c r="E47" s="38">
        <v>42004</v>
      </c>
      <c r="F47" s="42">
        <v>400000</v>
      </c>
      <c r="G47" s="15" t="s">
        <v>376</v>
      </c>
      <c r="H47" s="43" t="s">
        <v>55</v>
      </c>
      <c r="I47" s="16">
        <f>31087+35583+33333+33333+33333+33333+33333+33333+31083+31083+31083</f>
        <v>359917</v>
      </c>
    </row>
    <row r="48" spans="1:9" s="5" customFormat="1" ht="60" customHeight="1">
      <c r="A48" s="35"/>
      <c r="B48" s="36"/>
      <c r="C48" s="36"/>
      <c r="D48" s="38"/>
      <c r="E48" s="38"/>
      <c r="F48" s="42"/>
      <c r="G48" s="15" t="s">
        <v>377</v>
      </c>
      <c r="H48" s="43"/>
      <c r="I48" s="16">
        <f>2250+2250+2250</f>
        <v>6750</v>
      </c>
    </row>
    <row r="49" spans="1:9" s="5" customFormat="1" ht="60" customHeight="1">
      <c r="A49" s="30" t="s">
        <v>56</v>
      </c>
      <c r="B49" s="31" t="s">
        <v>27</v>
      </c>
      <c r="C49" s="31" t="s">
        <v>28</v>
      </c>
      <c r="D49" s="32">
        <v>41641</v>
      </c>
      <c r="E49" s="17">
        <v>42004</v>
      </c>
      <c r="F49" s="33">
        <v>72000</v>
      </c>
      <c r="G49" s="15" t="s">
        <v>12</v>
      </c>
      <c r="H49" s="29" t="s">
        <v>57</v>
      </c>
      <c r="I49" s="16">
        <f>6000+6000+6000+6000+6000+6000+6000+6000+6000+6000+6000</f>
        <v>66000</v>
      </c>
    </row>
    <row r="50" spans="1:9" s="5" customFormat="1" ht="60" customHeight="1">
      <c r="A50" s="35" t="s">
        <v>58</v>
      </c>
      <c r="B50" s="36" t="s">
        <v>59</v>
      </c>
      <c r="C50" s="36" t="s">
        <v>60</v>
      </c>
      <c r="D50" s="38">
        <v>41641</v>
      </c>
      <c r="E50" s="38" t="s">
        <v>29</v>
      </c>
      <c r="F50" s="42">
        <v>400000</v>
      </c>
      <c r="G50" s="15" t="s">
        <v>376</v>
      </c>
      <c r="H50" s="43" t="s">
        <v>61</v>
      </c>
      <c r="I50" s="16">
        <f>31087+33333+33333+33333+33333+33333+33333+33333+31083+31083+31083</f>
        <v>357667</v>
      </c>
    </row>
    <row r="51" spans="1:9" s="5" customFormat="1" ht="60" customHeight="1">
      <c r="A51" s="35"/>
      <c r="B51" s="36"/>
      <c r="C51" s="36"/>
      <c r="D51" s="38"/>
      <c r="E51" s="38"/>
      <c r="F51" s="42"/>
      <c r="G51" s="15" t="s">
        <v>377</v>
      </c>
      <c r="H51" s="43"/>
      <c r="I51" s="16">
        <f>2250+2250+2250+2250</f>
        <v>9000</v>
      </c>
    </row>
    <row r="52" spans="1:9" s="5" customFormat="1" ht="60" customHeight="1">
      <c r="A52" s="30" t="s">
        <v>62</v>
      </c>
      <c r="B52" s="31" t="s">
        <v>22</v>
      </c>
      <c r="C52" s="31" t="s">
        <v>23</v>
      </c>
      <c r="D52" s="32">
        <v>41641</v>
      </c>
      <c r="E52" s="17">
        <v>42004</v>
      </c>
      <c r="F52" s="33">
        <v>94000</v>
      </c>
      <c r="G52" s="15" t="s">
        <v>12</v>
      </c>
      <c r="H52" s="29" t="s">
        <v>63</v>
      </c>
      <c r="I52" s="16">
        <f>6000+6000+6000+4400+6000+2200+6000+6000+2200+6000+2200+6000+2200+6000+2200+6000+2200+6000+2200</f>
        <v>85800</v>
      </c>
    </row>
    <row r="53" spans="1:9" s="5" customFormat="1" ht="60" customHeight="1">
      <c r="A53" s="30" t="s">
        <v>64</v>
      </c>
      <c r="B53" s="31" t="s">
        <v>24</v>
      </c>
      <c r="C53" s="31" t="s">
        <v>25</v>
      </c>
      <c r="D53" s="32">
        <v>41641</v>
      </c>
      <c r="E53" s="17">
        <v>42004</v>
      </c>
      <c r="F53" s="33">
        <v>110000</v>
      </c>
      <c r="G53" s="15" t="s">
        <v>12</v>
      </c>
      <c r="H53" s="29" t="s">
        <v>65</v>
      </c>
      <c r="I53" s="16">
        <f>9163+9167+9167+9167+9167+9167+9167+9167+9167+9167+9167</f>
        <v>100833</v>
      </c>
    </row>
    <row r="54" spans="1:9" s="5" customFormat="1" ht="60" customHeight="1">
      <c r="A54" s="30" t="s">
        <v>328</v>
      </c>
      <c r="B54" s="31" t="s">
        <v>66</v>
      </c>
      <c r="C54" s="31" t="s">
        <v>67</v>
      </c>
      <c r="D54" s="32">
        <v>41641</v>
      </c>
      <c r="E54" s="17">
        <v>42004</v>
      </c>
      <c r="F54" s="33">
        <f>900000+280000</f>
        <v>1180000</v>
      </c>
      <c r="G54" s="15" t="s">
        <v>12</v>
      </c>
      <c r="H54" s="29" t="s">
        <v>68</v>
      </c>
      <c r="I54" s="16">
        <f>130000+160000+180000+94000+69000+69000+69000+69000+28000+15000+63000+15000+63000+15000+63000</f>
        <v>1102000</v>
      </c>
    </row>
    <row r="55" spans="1:9" s="5" customFormat="1" ht="60" customHeight="1">
      <c r="A55" s="30" t="s">
        <v>69</v>
      </c>
      <c r="B55" s="31" t="s">
        <v>70</v>
      </c>
      <c r="C55" s="31" t="s">
        <v>71</v>
      </c>
      <c r="D55" s="32">
        <v>41641</v>
      </c>
      <c r="E55" s="17">
        <v>42004</v>
      </c>
      <c r="F55" s="33">
        <v>131321</v>
      </c>
      <c r="G55" s="15" t="s">
        <v>12</v>
      </c>
      <c r="H55" s="29" t="s">
        <v>72</v>
      </c>
      <c r="I55" s="16">
        <f>10613.42+10613.42+11933.41+10613.42+10613.42+10613.42+11933.41+10613.42+10613.42+10613.42+11933.41</f>
        <v>120707.59</v>
      </c>
    </row>
    <row r="56" spans="1:9" s="5" customFormat="1" ht="60" customHeight="1">
      <c r="A56" s="35" t="s">
        <v>366</v>
      </c>
      <c r="B56" s="36" t="s">
        <v>70</v>
      </c>
      <c r="C56" s="36" t="s">
        <v>71</v>
      </c>
      <c r="D56" s="38">
        <v>41641</v>
      </c>
      <c r="E56" s="38">
        <v>42004</v>
      </c>
      <c r="F56" s="42">
        <f>32998.64+32999.86</f>
        <v>65998.5</v>
      </c>
      <c r="G56" s="15" t="s">
        <v>12</v>
      </c>
      <c r="H56" s="43" t="s">
        <v>73</v>
      </c>
      <c r="I56" s="16">
        <f>13199.86+6600+6600</f>
        <v>26399.86</v>
      </c>
    </row>
    <row r="57" spans="1:9" s="5" customFormat="1" ht="60" customHeight="1">
      <c r="A57" s="35"/>
      <c r="B57" s="36"/>
      <c r="C57" s="36"/>
      <c r="D57" s="38"/>
      <c r="E57" s="38"/>
      <c r="F57" s="42"/>
      <c r="G57" s="15" t="s">
        <v>19</v>
      </c>
      <c r="H57" s="43"/>
      <c r="I57" s="16">
        <f>5500+5500+5499.66+5499.66+5499.66+5499.66</f>
        <v>32998.64</v>
      </c>
    </row>
    <row r="58" spans="1:9" s="5" customFormat="1" ht="60" customHeight="1">
      <c r="A58" s="30" t="s">
        <v>74</v>
      </c>
      <c r="B58" s="31" t="s">
        <v>70</v>
      </c>
      <c r="C58" s="31" t="s">
        <v>71</v>
      </c>
      <c r="D58" s="32">
        <v>41641</v>
      </c>
      <c r="E58" s="17">
        <v>42004</v>
      </c>
      <c r="F58" s="33">
        <v>170000</v>
      </c>
      <c r="G58" s="15" t="s">
        <v>12</v>
      </c>
      <c r="H58" s="29" t="s">
        <v>75</v>
      </c>
      <c r="I58" s="16">
        <f>14900+14100+14100+14100+14100+14100+14100+14100+14100+14100+14100</f>
        <v>155900</v>
      </c>
    </row>
    <row r="59" spans="1:9" s="5" customFormat="1" ht="60" customHeight="1">
      <c r="A59" s="30" t="s">
        <v>76</v>
      </c>
      <c r="B59" s="31" t="s">
        <v>77</v>
      </c>
      <c r="C59" s="31" t="s">
        <v>78</v>
      </c>
      <c r="D59" s="32">
        <v>41669</v>
      </c>
      <c r="E59" s="17">
        <v>41728</v>
      </c>
      <c r="F59" s="33">
        <v>33000</v>
      </c>
      <c r="G59" s="15" t="s">
        <v>12</v>
      </c>
      <c r="H59" s="29" t="s">
        <v>79</v>
      </c>
      <c r="I59" s="16">
        <f>33000</f>
        <v>33000</v>
      </c>
    </row>
    <row r="60" spans="1:9" s="5" customFormat="1" ht="60" customHeight="1">
      <c r="A60" s="30" t="s">
        <v>80</v>
      </c>
      <c r="B60" s="31" t="s">
        <v>81</v>
      </c>
      <c r="C60" s="31" t="s">
        <v>82</v>
      </c>
      <c r="D60" s="32">
        <v>41669</v>
      </c>
      <c r="E60" s="17">
        <v>41728</v>
      </c>
      <c r="F60" s="33">
        <v>33000</v>
      </c>
      <c r="G60" s="15" t="s">
        <v>12</v>
      </c>
      <c r="H60" s="29" t="s">
        <v>79</v>
      </c>
      <c r="I60" s="16">
        <f>33000</f>
        <v>33000</v>
      </c>
    </row>
    <row r="61" spans="1:9" s="5" customFormat="1" ht="60" customHeight="1">
      <c r="A61" s="30" t="s">
        <v>83</v>
      </c>
      <c r="B61" s="31" t="s">
        <v>84</v>
      </c>
      <c r="C61" s="31" t="s">
        <v>85</v>
      </c>
      <c r="D61" s="32">
        <v>41669</v>
      </c>
      <c r="E61" s="17">
        <v>41728</v>
      </c>
      <c r="F61" s="33">
        <v>6000</v>
      </c>
      <c r="G61" s="15" t="s">
        <v>12</v>
      </c>
      <c r="H61" s="29" t="s">
        <v>79</v>
      </c>
      <c r="I61" s="16">
        <f>6000</f>
        <v>6000</v>
      </c>
    </row>
    <row r="62" spans="1:9" s="5" customFormat="1" ht="60" customHeight="1">
      <c r="A62" s="30" t="s">
        <v>86</v>
      </c>
      <c r="B62" s="31" t="s">
        <v>17</v>
      </c>
      <c r="C62" s="31" t="s">
        <v>18</v>
      </c>
      <c r="D62" s="32">
        <v>41669</v>
      </c>
      <c r="E62" s="17">
        <v>42004</v>
      </c>
      <c r="F62" s="33">
        <v>128968.32</v>
      </c>
      <c r="G62" s="15" t="s">
        <v>12</v>
      </c>
      <c r="H62" s="29" t="s">
        <v>87</v>
      </c>
      <c r="I62" s="16">
        <f>11968.32+11700+11700+11700+11700+11700+11700+11700+11700+11700</f>
        <v>117268.32</v>
      </c>
    </row>
    <row r="63" spans="1:9" s="5" customFormat="1" ht="60" customHeight="1">
      <c r="A63" s="30" t="s">
        <v>88</v>
      </c>
      <c r="B63" s="31" t="s">
        <v>89</v>
      </c>
      <c r="C63" s="31" t="s">
        <v>367</v>
      </c>
      <c r="D63" s="32">
        <v>41669</v>
      </c>
      <c r="E63" s="17">
        <v>41728</v>
      </c>
      <c r="F63" s="33">
        <v>33000</v>
      </c>
      <c r="G63" s="15" t="s">
        <v>12</v>
      </c>
      <c r="H63" s="29" t="s">
        <v>79</v>
      </c>
      <c r="I63" s="16">
        <f>33000</f>
        <v>33000</v>
      </c>
    </row>
    <row r="64" spans="1:9" s="5" customFormat="1" ht="60" customHeight="1">
      <c r="A64" s="30" t="s">
        <v>90</v>
      </c>
      <c r="B64" s="31" t="s">
        <v>91</v>
      </c>
      <c r="C64" s="31" t="s">
        <v>92</v>
      </c>
      <c r="D64" s="32">
        <v>41673</v>
      </c>
      <c r="E64" s="17">
        <v>42004</v>
      </c>
      <c r="F64" s="33">
        <v>58212</v>
      </c>
      <c r="G64" s="15" t="s">
        <v>16</v>
      </c>
      <c r="H64" s="29" t="s">
        <v>93</v>
      </c>
      <c r="I64" s="16">
        <f>9800+4900+4900+4900+4900+7644+5292+5292+5292</f>
        <v>52920</v>
      </c>
    </row>
    <row r="65" spans="1:9" s="5" customFormat="1" ht="60" customHeight="1">
      <c r="A65" s="30" t="s">
        <v>94</v>
      </c>
      <c r="B65" s="31" t="s">
        <v>95</v>
      </c>
      <c r="C65" s="31" t="s">
        <v>96</v>
      </c>
      <c r="D65" s="32">
        <v>41682</v>
      </c>
      <c r="E65" s="17">
        <v>42004</v>
      </c>
      <c r="F65" s="33">
        <v>377000</v>
      </c>
      <c r="G65" s="15" t="s">
        <v>12</v>
      </c>
      <c r="H65" s="29" t="s">
        <v>97</v>
      </c>
      <c r="I65" s="16">
        <f>377000</f>
        <v>377000</v>
      </c>
    </row>
    <row r="66" spans="1:9" s="5" customFormat="1" ht="60" customHeight="1">
      <c r="A66" s="30" t="s">
        <v>98</v>
      </c>
      <c r="B66" s="31" t="s">
        <v>99</v>
      </c>
      <c r="C66" s="31" t="s">
        <v>100</v>
      </c>
      <c r="D66" s="32">
        <v>41669</v>
      </c>
      <c r="E66" s="17">
        <v>41790</v>
      </c>
      <c r="F66" s="33">
        <v>163800</v>
      </c>
      <c r="G66" s="15" t="s">
        <v>12</v>
      </c>
      <c r="H66" s="29" t="s">
        <v>101</v>
      </c>
      <c r="I66" s="16">
        <f>114086.58+16571.14+16571.14+16571.14</f>
        <v>163800</v>
      </c>
    </row>
    <row r="67" spans="1:9" s="5" customFormat="1" ht="60" customHeight="1">
      <c r="A67" s="30" t="s">
        <v>102</v>
      </c>
      <c r="B67" s="31" t="s">
        <v>103</v>
      </c>
      <c r="C67" s="31" t="s">
        <v>104</v>
      </c>
      <c r="D67" s="32">
        <v>41669</v>
      </c>
      <c r="E67" s="17">
        <v>42004</v>
      </c>
      <c r="F67" s="33">
        <v>378000</v>
      </c>
      <c r="G67" s="15" t="s">
        <v>12</v>
      </c>
      <c r="H67" s="29" t="s">
        <v>105</v>
      </c>
      <c r="I67" s="16">
        <f>378000</f>
        <v>378000</v>
      </c>
    </row>
    <row r="68" spans="1:9" s="5" customFormat="1" ht="60" customHeight="1">
      <c r="A68" s="30" t="s">
        <v>106</v>
      </c>
      <c r="B68" s="31" t="s">
        <v>107</v>
      </c>
      <c r="C68" s="31" t="s">
        <v>108</v>
      </c>
      <c r="D68" s="32">
        <v>41691</v>
      </c>
      <c r="E68" s="17">
        <v>41728</v>
      </c>
      <c r="F68" s="33">
        <v>11000</v>
      </c>
      <c r="G68" s="15" t="s">
        <v>12</v>
      </c>
      <c r="H68" s="29" t="s">
        <v>79</v>
      </c>
      <c r="I68" s="16">
        <f>11000</f>
        <v>11000</v>
      </c>
    </row>
    <row r="69" spans="1:9" s="5" customFormat="1" ht="60" customHeight="1">
      <c r="A69" s="30" t="s">
        <v>109</v>
      </c>
      <c r="B69" s="31" t="s">
        <v>20</v>
      </c>
      <c r="C69" s="31" t="s">
        <v>21</v>
      </c>
      <c r="D69" s="32">
        <v>41676</v>
      </c>
      <c r="E69" s="17">
        <v>42004</v>
      </c>
      <c r="F69" s="33">
        <v>50700</v>
      </c>
      <c r="G69" s="15" t="s">
        <v>16</v>
      </c>
      <c r="H69" s="29" t="s">
        <v>110</v>
      </c>
      <c r="I69" s="16">
        <f>5070+5070+5070+5070+5070+5070+5070+5070+5070</f>
        <v>45630</v>
      </c>
    </row>
    <row r="70" spans="1:9" s="5" customFormat="1" ht="60" customHeight="1">
      <c r="A70" s="30" t="s">
        <v>111</v>
      </c>
      <c r="B70" s="31" t="s">
        <v>112</v>
      </c>
      <c r="C70" s="31" t="s">
        <v>92</v>
      </c>
      <c r="D70" s="32">
        <v>41698</v>
      </c>
      <c r="E70" s="17">
        <v>40908</v>
      </c>
      <c r="F70" s="33">
        <v>55000</v>
      </c>
      <c r="G70" s="15" t="s">
        <v>16</v>
      </c>
      <c r="H70" s="29" t="s">
        <v>113</v>
      </c>
      <c r="I70" s="16">
        <f>55000</f>
        <v>55000</v>
      </c>
    </row>
    <row r="71" spans="1:9" ht="60" customHeight="1">
      <c r="A71" s="30" t="s">
        <v>114</v>
      </c>
      <c r="B71" s="31" t="s">
        <v>99</v>
      </c>
      <c r="C71" s="31" t="s">
        <v>100</v>
      </c>
      <c r="D71" s="32">
        <v>41676</v>
      </c>
      <c r="E71" s="17">
        <v>41882</v>
      </c>
      <c r="F71" s="33">
        <v>100800</v>
      </c>
      <c r="G71" s="15" t="s">
        <v>12</v>
      </c>
      <c r="H71" s="29" t="s">
        <v>115</v>
      </c>
      <c r="I71" s="16">
        <v>100800</v>
      </c>
    </row>
    <row r="72" spans="1:9" ht="60" customHeight="1">
      <c r="A72" s="30" t="s">
        <v>116</v>
      </c>
      <c r="B72" s="31" t="s">
        <v>117</v>
      </c>
      <c r="C72" s="31" t="s">
        <v>368</v>
      </c>
      <c r="D72" s="32">
        <v>41695</v>
      </c>
      <c r="E72" s="17">
        <v>42004</v>
      </c>
      <c r="F72" s="33">
        <v>280000</v>
      </c>
      <c r="G72" s="15" t="s">
        <v>12</v>
      </c>
      <c r="H72" s="29" t="s">
        <v>118</v>
      </c>
      <c r="I72" s="16">
        <f>28000+28000+28000+28000+28000+28000+28000+28000+28000</f>
        <v>252000</v>
      </c>
    </row>
    <row r="73" spans="1:9" ht="60" customHeight="1">
      <c r="A73" s="30" t="s">
        <v>119</v>
      </c>
      <c r="B73" s="31" t="s">
        <v>17</v>
      </c>
      <c r="C73" s="31" t="s">
        <v>18</v>
      </c>
      <c r="D73" s="32">
        <v>41697</v>
      </c>
      <c r="E73" s="17">
        <v>42004</v>
      </c>
      <c r="F73" s="33">
        <v>240000</v>
      </c>
      <c r="G73" s="15" t="s">
        <v>12</v>
      </c>
      <c r="H73" s="29" t="s">
        <v>120</v>
      </c>
      <c r="I73" s="16">
        <f>24000+24000+24000+24000+24000+24000+24000+24000+24000</f>
        <v>216000</v>
      </c>
    </row>
    <row r="74" spans="1:9" ht="60" customHeight="1">
      <c r="A74" s="30" t="s">
        <v>121</v>
      </c>
      <c r="B74" s="31" t="s">
        <v>17</v>
      </c>
      <c r="C74" s="31" t="s">
        <v>18</v>
      </c>
      <c r="D74" s="32">
        <v>41697</v>
      </c>
      <c r="E74" s="17">
        <v>42004</v>
      </c>
      <c r="F74" s="33">
        <v>150000</v>
      </c>
      <c r="G74" s="15" t="s">
        <v>12</v>
      </c>
      <c r="H74" s="29" t="s">
        <v>122</v>
      </c>
      <c r="I74" s="16">
        <f>15000+15000+15000+15000+15000+15000+15000+15000+15000</f>
        <v>135000</v>
      </c>
    </row>
    <row r="75" spans="1:9" ht="60" customHeight="1">
      <c r="A75" s="30" t="s">
        <v>123</v>
      </c>
      <c r="B75" s="31" t="s">
        <v>124</v>
      </c>
      <c r="C75" s="31" t="s">
        <v>125</v>
      </c>
      <c r="D75" s="32">
        <v>41704</v>
      </c>
      <c r="E75" s="17">
        <v>42004</v>
      </c>
      <c r="F75" s="33">
        <v>84960</v>
      </c>
      <c r="G75" s="15" t="s">
        <v>16</v>
      </c>
      <c r="H75" s="29" t="s">
        <v>126</v>
      </c>
      <c r="I75" s="16">
        <f>8496+8496+8496+8496+8496+8496+8496+8496+8496</f>
        <v>76464</v>
      </c>
    </row>
    <row r="76" spans="1:9" ht="60" customHeight="1">
      <c r="A76" s="30" t="s">
        <v>127</v>
      </c>
      <c r="B76" s="31" t="s">
        <v>128</v>
      </c>
      <c r="C76" s="31" t="s">
        <v>129</v>
      </c>
      <c r="D76" s="32">
        <v>41704</v>
      </c>
      <c r="E76" s="17">
        <v>42004</v>
      </c>
      <c r="F76" s="33">
        <v>60000</v>
      </c>
      <c r="G76" s="15" t="s">
        <v>12</v>
      </c>
      <c r="H76" s="29" t="s">
        <v>130</v>
      </c>
      <c r="I76" s="16">
        <f>60000</f>
        <v>60000</v>
      </c>
    </row>
    <row r="77" spans="1:9" ht="60" customHeight="1">
      <c r="A77" s="30" t="s">
        <v>131</v>
      </c>
      <c r="B77" s="31" t="s">
        <v>95</v>
      </c>
      <c r="C77" s="31" t="s">
        <v>96</v>
      </c>
      <c r="D77" s="32">
        <v>41705</v>
      </c>
      <c r="E77" s="17">
        <v>42004</v>
      </c>
      <c r="F77" s="33">
        <v>60000</v>
      </c>
      <c r="G77" s="15" t="s">
        <v>12</v>
      </c>
      <c r="H77" s="29" t="s">
        <v>132</v>
      </c>
      <c r="I77" s="16">
        <f>60000</f>
        <v>60000</v>
      </c>
    </row>
    <row r="78" spans="1:9" ht="60" customHeight="1">
      <c r="A78" s="30" t="s">
        <v>133</v>
      </c>
      <c r="B78" s="31" t="s">
        <v>95</v>
      </c>
      <c r="C78" s="31" t="s">
        <v>96</v>
      </c>
      <c r="D78" s="32">
        <v>41705</v>
      </c>
      <c r="E78" s="17">
        <v>42004</v>
      </c>
      <c r="F78" s="33">
        <v>90000</v>
      </c>
      <c r="G78" s="15" t="s">
        <v>12</v>
      </c>
      <c r="H78" s="29" t="s">
        <v>134</v>
      </c>
      <c r="I78" s="16">
        <f>90000</f>
        <v>90000</v>
      </c>
    </row>
    <row r="79" spans="1:9" ht="60" customHeight="1">
      <c r="A79" s="30" t="s">
        <v>135</v>
      </c>
      <c r="B79" s="31" t="s">
        <v>136</v>
      </c>
      <c r="C79" s="31" t="s">
        <v>137</v>
      </c>
      <c r="D79" s="32">
        <v>41703</v>
      </c>
      <c r="E79" s="17">
        <v>42004</v>
      </c>
      <c r="F79" s="33">
        <v>55000</v>
      </c>
      <c r="G79" s="15" t="s">
        <v>16</v>
      </c>
      <c r="H79" s="29" t="s">
        <v>113</v>
      </c>
      <c r="I79" s="16">
        <f>55000</f>
        <v>55000</v>
      </c>
    </row>
    <row r="80" spans="1:9" ht="60" customHeight="1">
      <c r="A80" s="30" t="s">
        <v>138</v>
      </c>
      <c r="B80" s="31" t="s">
        <v>139</v>
      </c>
      <c r="C80" s="31" t="s">
        <v>140</v>
      </c>
      <c r="D80" s="32">
        <v>41711</v>
      </c>
      <c r="E80" s="17">
        <v>42004</v>
      </c>
      <c r="F80" s="33">
        <v>60000</v>
      </c>
      <c r="G80" s="15" t="s">
        <v>12</v>
      </c>
      <c r="H80" s="29" t="s">
        <v>141</v>
      </c>
      <c r="I80" s="16">
        <f>60000</f>
        <v>60000</v>
      </c>
    </row>
    <row r="81" spans="1:9" ht="60" customHeight="1">
      <c r="A81" s="30" t="s">
        <v>142</v>
      </c>
      <c r="B81" s="31" t="s">
        <v>143</v>
      </c>
      <c r="C81" s="31" t="s">
        <v>144</v>
      </c>
      <c r="D81" s="32">
        <v>41724</v>
      </c>
      <c r="E81" s="17">
        <v>41973</v>
      </c>
      <c r="F81" s="33">
        <v>55000</v>
      </c>
      <c r="G81" s="15" t="s">
        <v>16</v>
      </c>
      <c r="H81" s="29" t="s">
        <v>113</v>
      </c>
      <c r="I81" s="16">
        <f>55000</f>
        <v>55000</v>
      </c>
    </row>
    <row r="82" spans="1:9" ht="60" customHeight="1">
      <c r="A82" s="30" t="s">
        <v>145</v>
      </c>
      <c r="B82" s="31" t="s">
        <v>146</v>
      </c>
      <c r="C82" s="31" t="s">
        <v>147</v>
      </c>
      <c r="D82" s="32">
        <v>41732</v>
      </c>
      <c r="E82" s="17">
        <v>41973</v>
      </c>
      <c r="F82" s="33">
        <v>55000</v>
      </c>
      <c r="G82" s="15" t="s">
        <v>16</v>
      </c>
      <c r="H82" s="29" t="s">
        <v>113</v>
      </c>
      <c r="I82" s="16">
        <f>55000</f>
        <v>55000</v>
      </c>
    </row>
    <row r="83" spans="1:9" ht="60" customHeight="1">
      <c r="A83" s="30" t="s">
        <v>148</v>
      </c>
      <c r="B83" s="31" t="s">
        <v>149</v>
      </c>
      <c r="C83" s="31" t="s">
        <v>150</v>
      </c>
      <c r="D83" s="32">
        <v>41738</v>
      </c>
      <c r="E83" s="17">
        <v>41973</v>
      </c>
      <c r="F83" s="33">
        <v>55000</v>
      </c>
      <c r="G83" s="15" t="s">
        <v>16</v>
      </c>
      <c r="H83" s="29" t="s">
        <v>113</v>
      </c>
      <c r="I83" s="16">
        <f>55000</f>
        <v>55000</v>
      </c>
    </row>
    <row r="84" spans="1:9" ht="60" customHeight="1">
      <c r="A84" s="30" t="s">
        <v>151</v>
      </c>
      <c r="B84" s="31" t="s">
        <v>152</v>
      </c>
      <c r="C84" s="31" t="s">
        <v>153</v>
      </c>
      <c r="D84" s="32">
        <v>41743</v>
      </c>
      <c r="E84" s="17">
        <v>41973</v>
      </c>
      <c r="F84" s="33">
        <v>55000</v>
      </c>
      <c r="G84" s="15" t="s">
        <v>16</v>
      </c>
      <c r="H84" s="29" t="s">
        <v>113</v>
      </c>
      <c r="I84" s="16">
        <v>55000</v>
      </c>
    </row>
    <row r="85" spans="1:9" ht="60" customHeight="1">
      <c r="A85" s="30" t="s">
        <v>154</v>
      </c>
      <c r="B85" s="31" t="s">
        <v>155</v>
      </c>
      <c r="C85" s="31" t="s">
        <v>156</v>
      </c>
      <c r="D85" s="32">
        <v>41785</v>
      </c>
      <c r="E85" s="17">
        <v>42004</v>
      </c>
      <c r="F85" s="33">
        <v>13200</v>
      </c>
      <c r="G85" s="15" t="s">
        <v>16</v>
      </c>
      <c r="H85" s="29" t="s">
        <v>157</v>
      </c>
      <c r="I85" s="16">
        <v>13200</v>
      </c>
    </row>
    <row r="86" spans="1:9" ht="60" customHeight="1">
      <c r="A86" s="30" t="s">
        <v>189</v>
      </c>
      <c r="B86" s="31" t="s">
        <v>190</v>
      </c>
      <c r="C86" s="31" t="s">
        <v>191</v>
      </c>
      <c r="D86" s="32">
        <v>41785</v>
      </c>
      <c r="E86" s="17">
        <v>42004</v>
      </c>
      <c r="F86" s="33">
        <v>25850</v>
      </c>
      <c r="G86" s="15" t="s">
        <v>16</v>
      </c>
      <c r="H86" s="29" t="s">
        <v>157</v>
      </c>
      <c r="I86" s="16">
        <v>25850</v>
      </c>
    </row>
    <row r="87" spans="1:9" ht="60" customHeight="1">
      <c r="A87" s="30" t="s">
        <v>158</v>
      </c>
      <c r="B87" s="31" t="s">
        <v>159</v>
      </c>
      <c r="C87" s="31" t="s">
        <v>150</v>
      </c>
      <c r="D87" s="32">
        <v>41757</v>
      </c>
      <c r="E87" s="17">
        <v>42004</v>
      </c>
      <c r="F87" s="33">
        <v>17200</v>
      </c>
      <c r="G87" s="15" t="s">
        <v>16</v>
      </c>
      <c r="H87" s="29" t="s">
        <v>157</v>
      </c>
      <c r="I87" s="16">
        <v>17200</v>
      </c>
    </row>
    <row r="88" spans="1:9" ht="60" customHeight="1">
      <c r="A88" s="30" t="s">
        <v>160</v>
      </c>
      <c r="B88" s="31" t="s">
        <v>161</v>
      </c>
      <c r="C88" s="31" t="s">
        <v>162</v>
      </c>
      <c r="D88" s="32">
        <v>41757</v>
      </c>
      <c r="E88" s="17">
        <v>41973</v>
      </c>
      <c r="F88" s="33">
        <v>55000</v>
      </c>
      <c r="G88" s="15" t="s">
        <v>16</v>
      </c>
      <c r="H88" s="29" t="s">
        <v>113</v>
      </c>
      <c r="I88" s="16">
        <v>55000</v>
      </c>
    </row>
    <row r="89" spans="1:9" ht="60" customHeight="1">
      <c r="A89" s="30" t="s">
        <v>163</v>
      </c>
      <c r="B89" s="31" t="s">
        <v>164</v>
      </c>
      <c r="C89" s="31" t="s">
        <v>165</v>
      </c>
      <c r="D89" s="32">
        <v>41757</v>
      </c>
      <c r="E89" s="17">
        <v>41973</v>
      </c>
      <c r="F89" s="33">
        <v>55000</v>
      </c>
      <c r="G89" s="15" t="s">
        <v>16</v>
      </c>
      <c r="H89" s="29" t="s">
        <v>113</v>
      </c>
      <c r="I89" s="16">
        <v>55000</v>
      </c>
    </row>
    <row r="90" spans="1:9" ht="60" customHeight="1">
      <c r="A90" s="30" t="s">
        <v>166</v>
      </c>
      <c r="B90" s="31" t="s">
        <v>143</v>
      </c>
      <c r="C90" s="31" t="s">
        <v>26</v>
      </c>
      <c r="D90" s="32">
        <v>41774</v>
      </c>
      <c r="E90" s="17">
        <v>42004</v>
      </c>
      <c r="F90" s="33">
        <v>24500</v>
      </c>
      <c r="G90" s="15" t="s">
        <v>16</v>
      </c>
      <c r="H90" s="29" t="s">
        <v>157</v>
      </c>
      <c r="I90" s="16">
        <v>24500</v>
      </c>
    </row>
    <row r="91" spans="1:9" ht="60" customHeight="1">
      <c r="A91" s="30" t="s">
        <v>167</v>
      </c>
      <c r="B91" s="31" t="s">
        <v>168</v>
      </c>
      <c r="C91" s="31" t="s">
        <v>169</v>
      </c>
      <c r="D91" s="32">
        <v>41757</v>
      </c>
      <c r="E91" s="17">
        <v>42004</v>
      </c>
      <c r="F91" s="33">
        <v>7400</v>
      </c>
      <c r="G91" s="15" t="s">
        <v>16</v>
      </c>
      <c r="H91" s="29" t="s">
        <v>157</v>
      </c>
      <c r="I91" s="16">
        <v>7400</v>
      </c>
    </row>
    <row r="92" spans="1:9" ht="60" customHeight="1">
      <c r="A92" s="30" t="s">
        <v>192</v>
      </c>
      <c r="B92" s="31" t="s">
        <v>193</v>
      </c>
      <c r="C92" s="31" t="s">
        <v>194</v>
      </c>
      <c r="D92" s="32">
        <v>41785</v>
      </c>
      <c r="E92" s="17">
        <v>42004</v>
      </c>
      <c r="F92" s="33">
        <v>15400</v>
      </c>
      <c r="G92" s="15" t="s">
        <v>16</v>
      </c>
      <c r="H92" s="29" t="s">
        <v>157</v>
      </c>
      <c r="I92" s="16">
        <v>15400</v>
      </c>
    </row>
    <row r="93" spans="1:9" ht="60" customHeight="1">
      <c r="A93" s="30" t="s">
        <v>170</v>
      </c>
      <c r="B93" s="31" t="s">
        <v>171</v>
      </c>
      <c r="C93" s="31" t="s">
        <v>172</v>
      </c>
      <c r="D93" s="32">
        <v>41771</v>
      </c>
      <c r="E93" s="17">
        <v>42004</v>
      </c>
      <c r="F93" s="33">
        <v>15400</v>
      </c>
      <c r="G93" s="15" t="s">
        <v>16</v>
      </c>
      <c r="H93" s="29" t="s">
        <v>157</v>
      </c>
      <c r="I93" s="16">
        <v>15400</v>
      </c>
    </row>
    <row r="94" spans="1:9" ht="60" customHeight="1">
      <c r="A94" s="30" t="s">
        <v>356</v>
      </c>
      <c r="B94" s="31" t="s">
        <v>173</v>
      </c>
      <c r="C94" s="31" t="s">
        <v>28</v>
      </c>
      <c r="D94" s="32">
        <v>41751</v>
      </c>
      <c r="E94" s="17">
        <v>42004</v>
      </c>
      <c r="F94" s="33">
        <f>205700+33900</f>
        <v>239600</v>
      </c>
      <c r="G94" s="15" t="s">
        <v>12</v>
      </c>
      <c r="H94" s="29" t="s">
        <v>174</v>
      </c>
      <c r="I94" s="16">
        <f>51700+22000+22000+22000+22000+13300+22000+10300+22000+10300</f>
        <v>217600</v>
      </c>
    </row>
    <row r="95" spans="1:9" ht="60" customHeight="1">
      <c r="A95" s="30" t="s">
        <v>175</v>
      </c>
      <c r="B95" s="31" t="s">
        <v>124</v>
      </c>
      <c r="C95" s="31" t="s">
        <v>125</v>
      </c>
      <c r="D95" s="32">
        <v>41751</v>
      </c>
      <c r="E95" s="32" t="s">
        <v>29</v>
      </c>
      <c r="F95" s="33">
        <v>69984</v>
      </c>
      <c r="G95" s="15" t="s">
        <v>19</v>
      </c>
      <c r="H95" s="29" t="s">
        <v>176</v>
      </c>
      <c r="I95" s="16">
        <f>17484+8742+6258+7500+7500+7500+7500</f>
        <v>62484</v>
      </c>
    </row>
    <row r="96" spans="1:9" ht="60" customHeight="1">
      <c r="A96" s="30" t="s">
        <v>177</v>
      </c>
      <c r="B96" s="31" t="s">
        <v>14</v>
      </c>
      <c r="C96" s="31" t="s">
        <v>15</v>
      </c>
      <c r="D96" s="32">
        <v>41751</v>
      </c>
      <c r="E96" s="32" t="s">
        <v>29</v>
      </c>
      <c r="F96" s="33">
        <v>79000</v>
      </c>
      <c r="G96" s="15" t="s">
        <v>19</v>
      </c>
      <c r="H96" s="29" t="s">
        <v>178</v>
      </c>
      <c r="I96" s="16">
        <f>17750+8750+8750+8750+8750+8750+8750</f>
        <v>70250</v>
      </c>
    </row>
    <row r="97" spans="1:9" ht="60" customHeight="1">
      <c r="A97" s="30" t="s">
        <v>179</v>
      </c>
      <c r="B97" s="31" t="s">
        <v>14</v>
      </c>
      <c r="C97" s="31" t="s">
        <v>15</v>
      </c>
      <c r="D97" s="32">
        <v>41751</v>
      </c>
      <c r="E97" s="32" t="s">
        <v>29</v>
      </c>
      <c r="F97" s="33">
        <v>70000</v>
      </c>
      <c r="G97" s="15" t="s">
        <v>19</v>
      </c>
      <c r="H97" s="29" t="s">
        <v>180</v>
      </c>
      <c r="I97" s="16">
        <f>15750+7750+7750+7750+7750+7750+7750</f>
        <v>62250</v>
      </c>
    </row>
    <row r="98" spans="1:9" ht="60" customHeight="1">
      <c r="A98" s="30" t="s">
        <v>195</v>
      </c>
      <c r="B98" s="31" t="s">
        <v>196</v>
      </c>
      <c r="C98" s="31" t="s">
        <v>197</v>
      </c>
      <c r="D98" s="32">
        <v>41785</v>
      </c>
      <c r="E98" s="17">
        <v>42004</v>
      </c>
      <c r="F98" s="33">
        <v>26250</v>
      </c>
      <c r="G98" s="15" t="s">
        <v>16</v>
      </c>
      <c r="H98" s="29" t="s">
        <v>157</v>
      </c>
      <c r="I98" s="16">
        <f>26250</f>
        <v>26250</v>
      </c>
    </row>
    <row r="99" spans="1:9" ht="60" customHeight="1">
      <c r="A99" s="30" t="s">
        <v>198</v>
      </c>
      <c r="B99" s="31" t="s">
        <v>161</v>
      </c>
      <c r="C99" s="31" t="s">
        <v>162</v>
      </c>
      <c r="D99" s="32">
        <v>41785</v>
      </c>
      <c r="E99" s="17">
        <v>42004</v>
      </c>
      <c r="F99" s="33">
        <v>22050</v>
      </c>
      <c r="G99" s="15" t="s">
        <v>16</v>
      </c>
      <c r="H99" s="29" t="s">
        <v>157</v>
      </c>
      <c r="I99" s="16">
        <f>22050</f>
        <v>22050</v>
      </c>
    </row>
    <row r="100" spans="1:9" ht="60" customHeight="1">
      <c r="A100" s="30" t="s">
        <v>199</v>
      </c>
      <c r="B100" s="31" t="s">
        <v>152</v>
      </c>
      <c r="C100" s="31" t="s">
        <v>153</v>
      </c>
      <c r="D100" s="32">
        <v>41785</v>
      </c>
      <c r="E100" s="17">
        <v>42004</v>
      </c>
      <c r="F100" s="33">
        <v>29400</v>
      </c>
      <c r="G100" s="15" t="s">
        <v>16</v>
      </c>
      <c r="H100" s="29" t="s">
        <v>157</v>
      </c>
      <c r="I100" s="16">
        <f>29400</f>
        <v>29400</v>
      </c>
    </row>
    <row r="101" spans="1:9" ht="60" customHeight="1">
      <c r="A101" s="30" t="s">
        <v>200</v>
      </c>
      <c r="B101" s="31" t="s">
        <v>201</v>
      </c>
      <c r="C101" s="31" t="s">
        <v>202</v>
      </c>
      <c r="D101" s="32">
        <v>41785</v>
      </c>
      <c r="E101" s="17">
        <v>42004</v>
      </c>
      <c r="F101" s="33">
        <v>10900</v>
      </c>
      <c r="G101" s="15" t="s">
        <v>16</v>
      </c>
      <c r="H101" s="29" t="s">
        <v>157</v>
      </c>
      <c r="I101" s="16">
        <f>10900</f>
        <v>10900</v>
      </c>
    </row>
    <row r="102" spans="1:9" ht="60" customHeight="1">
      <c r="A102" s="30" t="s">
        <v>203</v>
      </c>
      <c r="B102" s="31" t="s">
        <v>204</v>
      </c>
      <c r="C102" s="31" t="s">
        <v>369</v>
      </c>
      <c r="D102" s="32">
        <v>41785</v>
      </c>
      <c r="E102" s="17">
        <v>42004</v>
      </c>
      <c r="F102" s="33">
        <v>34150</v>
      </c>
      <c r="G102" s="15" t="s">
        <v>16</v>
      </c>
      <c r="H102" s="29" t="s">
        <v>157</v>
      </c>
      <c r="I102" s="16">
        <f>34150</f>
        <v>34150</v>
      </c>
    </row>
    <row r="103" spans="1:9" ht="60" customHeight="1">
      <c r="A103" s="30" t="s">
        <v>205</v>
      </c>
      <c r="B103" s="31" t="s">
        <v>206</v>
      </c>
      <c r="C103" s="31" t="s">
        <v>207</v>
      </c>
      <c r="D103" s="32">
        <v>41785</v>
      </c>
      <c r="E103" s="17">
        <v>42004</v>
      </c>
      <c r="F103" s="33">
        <v>23200</v>
      </c>
      <c r="G103" s="15" t="s">
        <v>16</v>
      </c>
      <c r="H103" s="29" t="s">
        <v>157</v>
      </c>
      <c r="I103" s="16">
        <f>23200</f>
        <v>23200</v>
      </c>
    </row>
    <row r="104" spans="1:9" ht="60" customHeight="1">
      <c r="A104" s="30" t="s">
        <v>208</v>
      </c>
      <c r="B104" s="31" t="s">
        <v>209</v>
      </c>
      <c r="C104" s="31" t="s">
        <v>210</v>
      </c>
      <c r="D104" s="32">
        <v>41785</v>
      </c>
      <c r="E104" s="17">
        <v>42004</v>
      </c>
      <c r="F104" s="33">
        <v>41500</v>
      </c>
      <c r="G104" s="15" t="s">
        <v>16</v>
      </c>
      <c r="H104" s="29" t="s">
        <v>157</v>
      </c>
      <c r="I104" s="16">
        <f>41500</f>
        <v>41500</v>
      </c>
    </row>
    <row r="105" spans="1:9" ht="60" customHeight="1">
      <c r="A105" s="30" t="s">
        <v>211</v>
      </c>
      <c r="B105" s="31" t="s">
        <v>212</v>
      </c>
      <c r="C105" s="31" t="s">
        <v>213</v>
      </c>
      <c r="D105" s="32">
        <v>41785</v>
      </c>
      <c r="E105" s="17">
        <v>42004</v>
      </c>
      <c r="F105" s="33">
        <v>20050</v>
      </c>
      <c r="G105" s="15" t="s">
        <v>16</v>
      </c>
      <c r="H105" s="29" t="s">
        <v>157</v>
      </c>
      <c r="I105" s="16">
        <f>20050</f>
        <v>20050</v>
      </c>
    </row>
    <row r="106" spans="1:9" ht="60" customHeight="1">
      <c r="A106" s="30" t="s">
        <v>370</v>
      </c>
      <c r="B106" s="31" t="s">
        <v>214</v>
      </c>
      <c r="C106" s="31" t="s">
        <v>215</v>
      </c>
      <c r="D106" s="32">
        <v>41787</v>
      </c>
      <c r="E106" s="17">
        <v>42004</v>
      </c>
      <c r="F106" s="33">
        <v>21550</v>
      </c>
      <c r="G106" s="15" t="s">
        <v>16</v>
      </c>
      <c r="H106" s="29" t="s">
        <v>157</v>
      </c>
      <c r="I106" s="16">
        <f>21550</f>
        <v>21550</v>
      </c>
    </row>
    <row r="107" spans="1:9" ht="60" customHeight="1">
      <c r="A107" s="30" t="s">
        <v>216</v>
      </c>
      <c r="B107" s="31" t="s">
        <v>217</v>
      </c>
      <c r="C107" s="31" t="s">
        <v>218</v>
      </c>
      <c r="D107" s="32">
        <v>41785</v>
      </c>
      <c r="E107" s="17">
        <v>42004</v>
      </c>
      <c r="F107" s="33">
        <v>9600</v>
      </c>
      <c r="G107" s="15" t="s">
        <v>16</v>
      </c>
      <c r="H107" s="29" t="s">
        <v>157</v>
      </c>
      <c r="I107" s="16">
        <f>9600</f>
        <v>9600</v>
      </c>
    </row>
    <row r="108" spans="1:9" ht="60" customHeight="1">
      <c r="A108" s="30" t="s">
        <v>181</v>
      </c>
      <c r="B108" s="31" t="s">
        <v>182</v>
      </c>
      <c r="C108" s="31" t="s">
        <v>183</v>
      </c>
      <c r="D108" s="32">
        <v>41759</v>
      </c>
      <c r="E108" s="17">
        <v>42004</v>
      </c>
      <c r="F108" s="33">
        <v>72600</v>
      </c>
      <c r="G108" s="15" t="s">
        <v>12</v>
      </c>
      <c r="H108" s="29" t="s">
        <v>184</v>
      </c>
      <c r="I108" s="16">
        <v>72600</v>
      </c>
    </row>
    <row r="109" spans="1:9" ht="60" customHeight="1">
      <c r="A109" s="35" t="s">
        <v>371</v>
      </c>
      <c r="B109" s="36" t="s">
        <v>31</v>
      </c>
      <c r="C109" s="37" t="s">
        <v>32</v>
      </c>
      <c r="D109" s="38">
        <v>41759</v>
      </c>
      <c r="E109" s="39" t="s">
        <v>29</v>
      </c>
      <c r="F109" s="42">
        <v>178234.15</v>
      </c>
      <c r="G109" s="15" t="s">
        <v>12</v>
      </c>
      <c r="H109" s="34" t="s">
        <v>185</v>
      </c>
      <c r="I109" s="16">
        <f>11904.99+11905</f>
        <v>23809.989999999998</v>
      </c>
    </row>
    <row r="110" spans="1:9" ht="60" customHeight="1">
      <c r="A110" s="35"/>
      <c r="B110" s="36"/>
      <c r="C110" s="37"/>
      <c r="D110" s="38"/>
      <c r="E110" s="40"/>
      <c r="F110" s="42"/>
      <c r="G110" s="15" t="s">
        <v>16</v>
      </c>
      <c r="H110" s="34"/>
      <c r="I110" s="16">
        <f>18000+9000+9000</f>
        <v>36000</v>
      </c>
    </row>
    <row r="111" spans="1:9" ht="60" customHeight="1">
      <c r="A111" s="35"/>
      <c r="B111" s="36"/>
      <c r="C111" s="37"/>
      <c r="D111" s="38"/>
      <c r="E111" s="41"/>
      <c r="F111" s="42"/>
      <c r="G111" s="15" t="s">
        <v>19</v>
      </c>
      <c r="H111" s="34"/>
      <c r="I111" s="16">
        <f>23800+23800+19849.98</f>
        <v>67449.98</v>
      </c>
    </row>
    <row r="112" spans="1:9" ht="60" customHeight="1">
      <c r="A112" s="30" t="s">
        <v>186</v>
      </c>
      <c r="B112" s="31" t="s">
        <v>31</v>
      </c>
      <c r="C112" s="31" t="s">
        <v>32</v>
      </c>
      <c r="D112" s="32">
        <v>41759</v>
      </c>
      <c r="E112" s="32" t="s">
        <v>187</v>
      </c>
      <c r="F112" s="33">
        <v>80000</v>
      </c>
      <c r="G112" s="15" t="s">
        <v>16</v>
      </c>
      <c r="H112" s="29" t="s">
        <v>188</v>
      </c>
      <c r="I112" s="16">
        <f>10000+10000+10000+10000+10000+10000+10000</f>
        <v>70000</v>
      </c>
    </row>
    <row r="113" spans="1:9" ht="60" customHeight="1">
      <c r="A113" s="30" t="s">
        <v>219</v>
      </c>
      <c r="B113" s="31" t="s">
        <v>220</v>
      </c>
      <c r="C113" s="31" t="s">
        <v>213</v>
      </c>
      <c r="D113" s="32">
        <v>41787</v>
      </c>
      <c r="E113" s="17">
        <v>42004</v>
      </c>
      <c r="F113" s="33">
        <v>23350</v>
      </c>
      <c r="G113" s="15" t="s">
        <v>16</v>
      </c>
      <c r="H113" s="29" t="s">
        <v>157</v>
      </c>
      <c r="I113" s="16">
        <f>23350</f>
        <v>23350</v>
      </c>
    </row>
    <row r="114" spans="1:9" ht="60" customHeight="1">
      <c r="A114" s="30" t="s">
        <v>221</v>
      </c>
      <c r="B114" s="31" t="s">
        <v>222</v>
      </c>
      <c r="C114" s="31" t="s">
        <v>30</v>
      </c>
      <c r="D114" s="32">
        <v>41787</v>
      </c>
      <c r="E114" s="17">
        <v>42004</v>
      </c>
      <c r="F114" s="33">
        <v>18600</v>
      </c>
      <c r="G114" s="15" t="s">
        <v>16</v>
      </c>
      <c r="H114" s="29" t="s">
        <v>157</v>
      </c>
      <c r="I114" s="16">
        <f>18600</f>
        <v>18600</v>
      </c>
    </row>
    <row r="115" spans="1:9" ht="60" customHeight="1">
      <c r="A115" s="30" t="s">
        <v>223</v>
      </c>
      <c r="B115" s="31" t="s">
        <v>224</v>
      </c>
      <c r="C115" s="31" t="s">
        <v>225</v>
      </c>
      <c r="D115" s="32">
        <v>41787</v>
      </c>
      <c r="E115" s="17">
        <v>42004</v>
      </c>
      <c r="F115" s="33">
        <v>18900</v>
      </c>
      <c r="G115" s="15" t="s">
        <v>16</v>
      </c>
      <c r="H115" s="29" t="s">
        <v>157</v>
      </c>
      <c r="I115" s="16">
        <f>18900</f>
        <v>18900</v>
      </c>
    </row>
    <row r="116" spans="1:9" ht="60" customHeight="1">
      <c r="A116" s="30" t="s">
        <v>226</v>
      </c>
      <c r="B116" s="31" t="s">
        <v>227</v>
      </c>
      <c r="C116" s="31" t="s">
        <v>228</v>
      </c>
      <c r="D116" s="32">
        <v>41787</v>
      </c>
      <c r="E116" s="17">
        <v>42004</v>
      </c>
      <c r="F116" s="33">
        <v>9850</v>
      </c>
      <c r="G116" s="15" t="s">
        <v>16</v>
      </c>
      <c r="H116" s="29" t="s">
        <v>157</v>
      </c>
      <c r="I116" s="16">
        <f>9850</f>
        <v>9850</v>
      </c>
    </row>
    <row r="117" spans="1:9" ht="60" customHeight="1">
      <c r="A117" s="30" t="s">
        <v>229</v>
      </c>
      <c r="B117" s="31" t="s">
        <v>230</v>
      </c>
      <c r="C117" s="31" t="s">
        <v>231</v>
      </c>
      <c r="D117" s="32">
        <v>41787</v>
      </c>
      <c r="E117" s="17">
        <v>42004</v>
      </c>
      <c r="F117" s="33">
        <v>22550</v>
      </c>
      <c r="G117" s="15" t="s">
        <v>16</v>
      </c>
      <c r="H117" s="29" t="s">
        <v>157</v>
      </c>
      <c r="I117" s="16">
        <f>22550</f>
        <v>22550</v>
      </c>
    </row>
    <row r="118" spans="1:9" ht="60" customHeight="1">
      <c r="A118" s="30" t="s">
        <v>232</v>
      </c>
      <c r="B118" s="31" t="s">
        <v>233</v>
      </c>
      <c r="C118" s="31" t="s">
        <v>234</v>
      </c>
      <c r="D118" s="32">
        <v>41787</v>
      </c>
      <c r="E118" s="17">
        <v>42004</v>
      </c>
      <c r="F118" s="33">
        <v>33300</v>
      </c>
      <c r="G118" s="15" t="s">
        <v>16</v>
      </c>
      <c r="H118" s="29" t="s">
        <v>157</v>
      </c>
      <c r="I118" s="16">
        <f>33300</f>
        <v>33300</v>
      </c>
    </row>
    <row r="119" spans="1:9" ht="60" customHeight="1">
      <c r="A119" s="30" t="s">
        <v>235</v>
      </c>
      <c r="B119" s="31" t="s">
        <v>236</v>
      </c>
      <c r="C119" s="31" t="s">
        <v>237</v>
      </c>
      <c r="D119" s="32">
        <v>41787</v>
      </c>
      <c r="E119" s="17">
        <v>42004</v>
      </c>
      <c r="F119" s="33">
        <v>11600</v>
      </c>
      <c r="G119" s="15" t="s">
        <v>16</v>
      </c>
      <c r="H119" s="29" t="s">
        <v>157</v>
      </c>
      <c r="I119" s="16">
        <f>11600</f>
        <v>11600</v>
      </c>
    </row>
    <row r="120" spans="1:9" ht="60" customHeight="1">
      <c r="A120" s="30" t="s">
        <v>238</v>
      </c>
      <c r="B120" s="31" t="s">
        <v>239</v>
      </c>
      <c r="C120" s="31" t="s">
        <v>240</v>
      </c>
      <c r="D120" s="32">
        <v>41787</v>
      </c>
      <c r="E120" s="17">
        <v>42004</v>
      </c>
      <c r="F120" s="33">
        <v>3500</v>
      </c>
      <c r="G120" s="15" t="s">
        <v>16</v>
      </c>
      <c r="H120" s="29" t="s">
        <v>157</v>
      </c>
      <c r="I120" s="16">
        <f>3500</f>
        <v>3500</v>
      </c>
    </row>
    <row r="121" spans="1:9" ht="60" customHeight="1">
      <c r="A121" s="30" t="s">
        <v>241</v>
      </c>
      <c r="B121" s="31" t="s">
        <v>164</v>
      </c>
      <c r="C121" s="31" t="s">
        <v>165</v>
      </c>
      <c r="D121" s="32">
        <v>41787</v>
      </c>
      <c r="E121" s="17">
        <v>42004</v>
      </c>
      <c r="F121" s="33">
        <v>26200</v>
      </c>
      <c r="G121" s="15" t="s">
        <v>16</v>
      </c>
      <c r="H121" s="29" t="s">
        <v>157</v>
      </c>
      <c r="I121" s="16">
        <f>26200</f>
        <v>26200</v>
      </c>
    </row>
    <row r="122" spans="1:9" ht="60" customHeight="1">
      <c r="A122" s="30" t="s">
        <v>372</v>
      </c>
      <c r="B122" s="31" t="s">
        <v>373</v>
      </c>
      <c r="C122" s="31" t="s">
        <v>242</v>
      </c>
      <c r="D122" s="32">
        <v>41785</v>
      </c>
      <c r="E122" s="17">
        <v>41973</v>
      </c>
      <c r="F122" s="33">
        <v>60000</v>
      </c>
      <c r="G122" s="15" t="s">
        <v>12</v>
      </c>
      <c r="H122" s="29" t="s">
        <v>243</v>
      </c>
      <c r="I122" s="16">
        <f>60000</f>
        <v>60000</v>
      </c>
    </row>
    <row r="123" spans="1:9" ht="60" customHeight="1">
      <c r="A123" s="30" t="s">
        <v>244</v>
      </c>
      <c r="B123" s="31" t="s">
        <v>95</v>
      </c>
      <c r="C123" s="31" t="s">
        <v>96</v>
      </c>
      <c r="D123" s="32">
        <v>41785</v>
      </c>
      <c r="E123" s="17">
        <v>42004</v>
      </c>
      <c r="F123" s="33">
        <v>170000</v>
      </c>
      <c r="G123" s="15" t="s">
        <v>12</v>
      </c>
      <c r="H123" s="29" t="s">
        <v>245</v>
      </c>
      <c r="I123" s="16">
        <f>170000</f>
        <v>170000</v>
      </c>
    </row>
    <row r="124" spans="1:9" ht="60" customHeight="1">
      <c r="A124" s="30" t="s">
        <v>329</v>
      </c>
      <c r="B124" s="31" t="s">
        <v>330</v>
      </c>
      <c r="C124" s="31" t="s">
        <v>331</v>
      </c>
      <c r="D124" s="32">
        <v>41786</v>
      </c>
      <c r="E124" s="17">
        <v>42004</v>
      </c>
      <c r="F124" s="33">
        <v>92000</v>
      </c>
      <c r="G124" s="15" t="s">
        <v>380</v>
      </c>
      <c r="H124" s="29" t="s">
        <v>332</v>
      </c>
      <c r="I124" s="16">
        <v>74624.7</v>
      </c>
    </row>
    <row r="125" spans="1:9" ht="60" customHeight="1">
      <c r="A125" s="30" t="s">
        <v>246</v>
      </c>
      <c r="B125" s="31" t="s">
        <v>247</v>
      </c>
      <c r="C125" s="31" t="s">
        <v>248</v>
      </c>
      <c r="D125" s="32">
        <v>41802</v>
      </c>
      <c r="E125" s="17">
        <v>41851</v>
      </c>
      <c r="F125" s="33">
        <v>51380</v>
      </c>
      <c r="G125" s="15" t="s">
        <v>12</v>
      </c>
      <c r="H125" s="29" t="s">
        <v>249</v>
      </c>
      <c r="I125" s="16">
        <f>51380</f>
        <v>51380</v>
      </c>
    </row>
    <row r="126" spans="1:9" ht="60" customHeight="1">
      <c r="A126" s="30" t="s">
        <v>250</v>
      </c>
      <c r="B126" s="31" t="s">
        <v>251</v>
      </c>
      <c r="C126" s="31" t="s">
        <v>252</v>
      </c>
      <c r="D126" s="32">
        <v>41816</v>
      </c>
      <c r="E126" s="17">
        <v>42004</v>
      </c>
      <c r="F126" s="33">
        <v>20050</v>
      </c>
      <c r="G126" s="15" t="s">
        <v>16</v>
      </c>
      <c r="H126" s="29" t="s">
        <v>157</v>
      </c>
      <c r="I126" s="16">
        <f>20050</f>
        <v>20050</v>
      </c>
    </row>
    <row r="127" spans="1:9" ht="60" customHeight="1">
      <c r="A127" s="30" t="s">
        <v>333</v>
      </c>
      <c r="B127" s="31" t="s">
        <v>334</v>
      </c>
      <c r="C127" s="31" t="s">
        <v>335</v>
      </c>
      <c r="D127" s="32">
        <v>41835</v>
      </c>
      <c r="E127" s="17">
        <v>42004</v>
      </c>
      <c r="F127" s="33">
        <v>10500</v>
      </c>
      <c r="G127" s="15" t="s">
        <v>16</v>
      </c>
      <c r="H127" s="29" t="s">
        <v>157</v>
      </c>
      <c r="I127" s="16">
        <f>10500</f>
        <v>10500</v>
      </c>
    </row>
    <row r="128" spans="1:9" ht="60" customHeight="1">
      <c r="A128" s="30" t="s">
        <v>253</v>
      </c>
      <c r="B128" s="31" t="s">
        <v>99</v>
      </c>
      <c r="C128" s="31" t="s">
        <v>100</v>
      </c>
      <c r="D128" s="32">
        <v>41821</v>
      </c>
      <c r="E128" s="17">
        <v>42004</v>
      </c>
      <c r="F128" s="33">
        <v>96000</v>
      </c>
      <c r="G128" s="15" t="s">
        <v>12</v>
      </c>
      <c r="H128" s="29" t="s">
        <v>101</v>
      </c>
      <c r="I128" s="16">
        <f>96000</f>
        <v>96000</v>
      </c>
    </row>
    <row r="129" spans="1:9" ht="60" customHeight="1">
      <c r="A129" s="30" t="s">
        <v>254</v>
      </c>
      <c r="B129" s="31" t="s">
        <v>247</v>
      </c>
      <c r="C129" s="31" t="s">
        <v>248</v>
      </c>
      <c r="D129" s="32">
        <v>41820</v>
      </c>
      <c r="E129" s="17">
        <v>42004</v>
      </c>
      <c r="F129" s="33">
        <v>29400</v>
      </c>
      <c r="G129" s="15" t="s">
        <v>16</v>
      </c>
      <c r="H129" s="29" t="s">
        <v>255</v>
      </c>
      <c r="I129" s="16">
        <f>4900+4900+4900+4900+4900</f>
        <v>24500</v>
      </c>
    </row>
    <row r="130" spans="1:9" ht="60" customHeight="1">
      <c r="A130" s="30" t="s">
        <v>256</v>
      </c>
      <c r="B130" s="31" t="s">
        <v>31</v>
      </c>
      <c r="C130" s="31" t="s">
        <v>32</v>
      </c>
      <c r="D130" s="32">
        <v>41808</v>
      </c>
      <c r="E130" s="32" t="s">
        <v>29</v>
      </c>
      <c r="F130" s="33">
        <v>140350</v>
      </c>
      <c r="G130" s="15" t="s">
        <v>19</v>
      </c>
      <c r="H130" s="29" t="s">
        <v>257</v>
      </c>
      <c r="I130" s="16">
        <f>55150+14200+14200+14200+14200+14200</f>
        <v>126150</v>
      </c>
    </row>
    <row r="131" spans="1:9" ht="60" customHeight="1">
      <c r="A131" s="30" t="s">
        <v>258</v>
      </c>
      <c r="B131" s="31" t="s">
        <v>259</v>
      </c>
      <c r="C131" s="31" t="s">
        <v>336</v>
      </c>
      <c r="D131" s="32">
        <v>41808</v>
      </c>
      <c r="E131" s="32" t="s">
        <v>29</v>
      </c>
      <c r="F131" s="33">
        <v>51401.44</v>
      </c>
      <c r="G131" s="15" t="s">
        <v>19</v>
      </c>
      <c r="H131" s="29" t="s">
        <v>260</v>
      </c>
      <c r="I131" s="16">
        <f>18901.44+6500+6500+6500+6500</f>
        <v>44901.44</v>
      </c>
    </row>
    <row r="132" spans="1:9" ht="60" customHeight="1">
      <c r="A132" s="30" t="s">
        <v>337</v>
      </c>
      <c r="B132" s="31" t="s">
        <v>124</v>
      </c>
      <c r="C132" s="31" t="s">
        <v>125</v>
      </c>
      <c r="D132" s="32">
        <v>41845</v>
      </c>
      <c r="E132" s="17">
        <v>41942</v>
      </c>
      <c r="F132" s="33">
        <v>15999</v>
      </c>
      <c r="G132" s="15" t="s">
        <v>16</v>
      </c>
      <c r="H132" s="29" t="s">
        <v>338</v>
      </c>
      <c r="I132" s="16">
        <f>5333+5333+5333</f>
        <v>15999</v>
      </c>
    </row>
    <row r="133" spans="1:9" ht="60" customHeight="1">
      <c r="A133" s="30" t="s">
        <v>374</v>
      </c>
      <c r="B133" s="31" t="s">
        <v>259</v>
      </c>
      <c r="C133" s="31" t="s">
        <v>336</v>
      </c>
      <c r="D133" s="32">
        <v>41808</v>
      </c>
      <c r="E133" s="17">
        <v>42004</v>
      </c>
      <c r="F133" s="33">
        <v>32000</v>
      </c>
      <c r="G133" s="15" t="s">
        <v>12</v>
      </c>
      <c r="H133" s="29" t="s">
        <v>261</v>
      </c>
      <c r="I133" s="16">
        <f>9425.13+4574.87+3600+3600+3600+3600</f>
        <v>28400</v>
      </c>
    </row>
    <row r="134" spans="1:9" ht="60" customHeight="1">
      <c r="A134" s="30" t="s">
        <v>345</v>
      </c>
      <c r="B134" s="31" t="s">
        <v>259</v>
      </c>
      <c r="C134" s="31" t="s">
        <v>336</v>
      </c>
      <c r="D134" s="32">
        <v>41808</v>
      </c>
      <c r="E134" s="32" t="s">
        <v>187</v>
      </c>
      <c r="F134" s="33">
        <v>100799.97</v>
      </c>
      <c r="G134" s="15" t="s">
        <v>16</v>
      </c>
      <c r="H134" s="29" t="s">
        <v>262</v>
      </c>
      <c r="I134" s="16">
        <f>17379.61+10231.06+10500+10500+8389.3+10500+4100+9000+4100</f>
        <v>84699.97</v>
      </c>
    </row>
    <row r="135" spans="1:9" ht="60" customHeight="1">
      <c r="A135" s="30" t="s">
        <v>339</v>
      </c>
      <c r="B135" s="31" t="s">
        <v>340</v>
      </c>
      <c r="C135" s="31" t="s">
        <v>341</v>
      </c>
      <c r="D135" s="32">
        <v>41850</v>
      </c>
      <c r="E135" s="17">
        <v>42004</v>
      </c>
      <c r="F135" s="33">
        <v>18500</v>
      </c>
      <c r="G135" s="15" t="s">
        <v>16</v>
      </c>
      <c r="H135" s="29" t="s">
        <v>157</v>
      </c>
      <c r="I135" s="16">
        <v>18500</v>
      </c>
    </row>
    <row r="136" spans="1:9" ht="60" customHeight="1">
      <c r="A136" s="30" t="s">
        <v>346</v>
      </c>
      <c r="B136" s="31" t="s">
        <v>27</v>
      </c>
      <c r="C136" s="31" t="s">
        <v>28</v>
      </c>
      <c r="D136" s="32">
        <v>41856</v>
      </c>
      <c r="E136" s="32" t="s">
        <v>187</v>
      </c>
      <c r="F136" s="33">
        <v>67217.5</v>
      </c>
      <c r="G136" s="15" t="s">
        <v>16</v>
      </c>
      <c r="H136" s="29" t="s">
        <v>347</v>
      </c>
      <c r="I136" s="16">
        <f>13443.5+13443.5+13443.5+13443.5</f>
        <v>53774</v>
      </c>
    </row>
    <row r="137" spans="1:9" ht="60" customHeight="1">
      <c r="A137" s="30" t="s">
        <v>357</v>
      </c>
      <c r="B137" s="31" t="s">
        <v>27</v>
      </c>
      <c r="C137" s="31" t="s">
        <v>28</v>
      </c>
      <c r="D137" s="32">
        <v>41887</v>
      </c>
      <c r="E137" s="17">
        <v>42004</v>
      </c>
      <c r="F137" s="33">
        <v>38000</v>
      </c>
      <c r="G137" s="15" t="s">
        <v>12</v>
      </c>
      <c r="H137" s="29" t="s">
        <v>358</v>
      </c>
      <c r="I137" s="16">
        <f>38000</f>
        <v>38000</v>
      </c>
    </row>
    <row r="138" spans="1:9" ht="60" customHeight="1">
      <c r="A138" s="30" t="s">
        <v>342</v>
      </c>
      <c r="B138" s="31" t="s">
        <v>343</v>
      </c>
      <c r="C138" s="31" t="s">
        <v>344</v>
      </c>
      <c r="D138" s="32">
        <v>41850</v>
      </c>
      <c r="E138" s="17">
        <v>42004</v>
      </c>
      <c r="F138" s="33">
        <v>31150</v>
      </c>
      <c r="G138" s="15" t="s">
        <v>16</v>
      </c>
      <c r="H138" s="29" t="s">
        <v>157</v>
      </c>
      <c r="I138" s="16">
        <f>31150</f>
        <v>31150</v>
      </c>
    </row>
    <row r="139" spans="1:9" ht="60" customHeight="1">
      <c r="A139" s="30" t="s">
        <v>348</v>
      </c>
      <c r="B139" s="31" t="s">
        <v>22</v>
      </c>
      <c r="C139" s="31" t="s">
        <v>23</v>
      </c>
      <c r="D139" s="32">
        <v>41862</v>
      </c>
      <c r="E139" s="32" t="s">
        <v>187</v>
      </c>
      <c r="F139" s="33">
        <v>18582.5</v>
      </c>
      <c r="G139" s="15" t="s">
        <v>16</v>
      </c>
      <c r="H139" s="29" t="s">
        <v>349</v>
      </c>
      <c r="I139" s="16">
        <f>5335.25+5335.25+3956+3956</f>
        <v>18582.5</v>
      </c>
    </row>
    <row r="140" spans="1:9" ht="60" customHeight="1">
      <c r="A140" s="30" t="s">
        <v>350</v>
      </c>
      <c r="B140" s="31" t="s">
        <v>351</v>
      </c>
      <c r="C140" s="31" t="s">
        <v>137</v>
      </c>
      <c r="D140" s="32">
        <v>41878</v>
      </c>
      <c r="E140" s="17">
        <v>42004</v>
      </c>
      <c r="F140" s="33">
        <v>18700</v>
      </c>
      <c r="G140" s="15" t="s">
        <v>16</v>
      </c>
      <c r="H140" s="29" t="s">
        <v>157</v>
      </c>
      <c r="I140" s="16">
        <f>18700</f>
        <v>18700</v>
      </c>
    </row>
    <row r="141" spans="1:9" ht="60" customHeight="1">
      <c r="A141" s="30" t="s">
        <v>352</v>
      </c>
      <c r="B141" s="31" t="s">
        <v>353</v>
      </c>
      <c r="C141" s="31" t="s">
        <v>354</v>
      </c>
      <c r="D141" s="32">
        <v>41878</v>
      </c>
      <c r="E141" s="17">
        <v>42004</v>
      </c>
      <c r="F141" s="33">
        <v>14600</v>
      </c>
      <c r="G141" s="15" t="s">
        <v>16</v>
      </c>
      <c r="H141" s="29" t="s">
        <v>157</v>
      </c>
      <c r="I141" s="16">
        <f>14600</f>
        <v>14600</v>
      </c>
    </row>
    <row r="142" spans="1:9" ht="60" customHeight="1">
      <c r="A142" s="30" t="s">
        <v>355</v>
      </c>
      <c r="B142" s="31" t="s">
        <v>99</v>
      </c>
      <c r="C142" s="31" t="s">
        <v>100</v>
      </c>
      <c r="D142" s="32">
        <v>41878</v>
      </c>
      <c r="E142" s="17">
        <v>42004</v>
      </c>
      <c r="F142" s="33">
        <v>50000</v>
      </c>
      <c r="G142" s="15" t="s">
        <v>12</v>
      </c>
      <c r="H142" s="29" t="s">
        <v>115</v>
      </c>
      <c r="I142" s="16">
        <f>50000</f>
        <v>50000</v>
      </c>
    </row>
    <row r="143" spans="1:9" ht="60" customHeight="1" thickBot="1">
      <c r="A143" s="9" t="s">
        <v>359</v>
      </c>
      <c r="B143" s="10" t="s">
        <v>17</v>
      </c>
      <c r="C143" s="10" t="s">
        <v>18</v>
      </c>
      <c r="D143" s="11">
        <v>41897</v>
      </c>
      <c r="E143" s="28">
        <v>42004</v>
      </c>
      <c r="F143" s="12">
        <v>50550</v>
      </c>
      <c r="G143" s="13" t="s">
        <v>12</v>
      </c>
      <c r="H143" s="19" t="s">
        <v>360</v>
      </c>
      <c r="I143" s="14">
        <f>12637.5+12637.5+12637.5</f>
        <v>37912.5</v>
      </c>
    </row>
    <row r="144" spans="1:9" ht="36.75" customHeight="1" thickTop="1">
      <c r="A144" s="44" t="s">
        <v>375</v>
      </c>
      <c r="B144" s="44"/>
      <c r="C144" s="44"/>
      <c r="D144" s="44"/>
      <c r="E144" s="44"/>
      <c r="F144" s="44"/>
      <c r="G144" s="44"/>
      <c r="H144" s="44"/>
      <c r="I144" s="44"/>
    </row>
  </sheetData>
  <sheetProtection selectLockedCells="1" selectUnlockedCells="1"/>
  <mergeCells count="82">
    <mergeCell ref="A1:I1"/>
    <mergeCell ref="A2:I2"/>
    <mergeCell ref="A3:I3"/>
    <mergeCell ref="A4:I4"/>
    <mergeCell ref="A7:A8"/>
    <mergeCell ref="B7:B8"/>
    <mergeCell ref="C7:C8"/>
    <mergeCell ref="D7:D8"/>
    <mergeCell ref="E7:E8"/>
    <mergeCell ref="F7:F8"/>
    <mergeCell ref="A144:I144"/>
    <mergeCell ref="H7:H8"/>
    <mergeCell ref="A11:A13"/>
    <mergeCell ref="B11:B13"/>
    <mergeCell ref="C11:C13"/>
    <mergeCell ref="D11:D13"/>
    <mergeCell ref="E11:E13"/>
    <mergeCell ref="F11:F13"/>
    <mergeCell ref="H11:H13"/>
    <mergeCell ref="C33:C34"/>
    <mergeCell ref="D33:D34"/>
    <mergeCell ref="E33:E34"/>
    <mergeCell ref="F33:F34"/>
    <mergeCell ref="C50:C51"/>
    <mergeCell ref="D50:D51"/>
    <mergeCell ref="E50:E51"/>
    <mergeCell ref="F50:F51"/>
    <mergeCell ref="E28:E29"/>
    <mergeCell ref="F28:F29"/>
    <mergeCell ref="H28:H29"/>
    <mergeCell ref="A15:A17"/>
    <mergeCell ref="B15:B17"/>
    <mergeCell ref="C15:C17"/>
    <mergeCell ref="D15:D17"/>
    <mergeCell ref="E15:E17"/>
    <mergeCell ref="F38:F39"/>
    <mergeCell ref="H38:H39"/>
    <mergeCell ref="A33:A34"/>
    <mergeCell ref="B33:B34"/>
    <mergeCell ref="F15:F17"/>
    <mergeCell ref="H15:H17"/>
    <mergeCell ref="A28:A29"/>
    <mergeCell ref="B28:B29"/>
    <mergeCell ref="C28:C29"/>
    <mergeCell ref="D28:D29"/>
    <mergeCell ref="C44:C45"/>
    <mergeCell ref="D44:D45"/>
    <mergeCell ref="E44:E45"/>
    <mergeCell ref="F44:F45"/>
    <mergeCell ref="H33:H34"/>
    <mergeCell ref="A38:A39"/>
    <mergeCell ref="B38:B39"/>
    <mergeCell ref="C38:C39"/>
    <mergeCell ref="D38:D39"/>
    <mergeCell ref="E38:E39"/>
    <mergeCell ref="H44:H45"/>
    <mergeCell ref="A47:A48"/>
    <mergeCell ref="B47:B48"/>
    <mergeCell ref="C47:C48"/>
    <mergeCell ref="D47:D48"/>
    <mergeCell ref="E47:E48"/>
    <mergeCell ref="F47:F48"/>
    <mergeCell ref="H47:H48"/>
    <mergeCell ref="A44:A45"/>
    <mergeCell ref="B44:B45"/>
    <mergeCell ref="H50:H51"/>
    <mergeCell ref="A56:A57"/>
    <mergeCell ref="B56:B57"/>
    <mergeCell ref="C56:C57"/>
    <mergeCell ref="D56:D57"/>
    <mergeCell ref="E56:E57"/>
    <mergeCell ref="F56:F57"/>
    <mergeCell ref="H56:H57"/>
    <mergeCell ref="A50:A51"/>
    <mergeCell ref="B50:B51"/>
    <mergeCell ref="H109:H111"/>
    <mergeCell ref="A109:A111"/>
    <mergeCell ref="B109:B111"/>
    <mergeCell ref="C109:C111"/>
    <mergeCell ref="D109:D111"/>
    <mergeCell ref="E109:E111"/>
    <mergeCell ref="F109:F111"/>
  </mergeCells>
  <printOptions horizontalCentered="1"/>
  <pageMargins left="0" right="0" top="0.5905511811023623" bottom="0.3937007874015748" header="0.1968503937007874" footer="0.1968503937007874"/>
  <pageSetup fitToHeight="10" horizontalDpi="300" verticalDpi="3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Mauricio da Silva Tenorio mtenorio</dc:creator>
  <cp:keywords/>
  <dc:description/>
  <cp:lastModifiedBy>Mauricio</cp:lastModifiedBy>
  <cp:lastPrinted>2014-12-16T18:37:59Z</cp:lastPrinted>
  <dcterms:created xsi:type="dcterms:W3CDTF">2014-04-14T11:21:27Z</dcterms:created>
  <dcterms:modified xsi:type="dcterms:W3CDTF">2014-12-19T13:14:21Z</dcterms:modified>
  <cp:category/>
  <cp:version/>
  <cp:contentType/>
  <cp:contentStatus/>
</cp:coreProperties>
</file>