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firstSheet="3" activeTab="11"/>
  </bookViews>
  <sheets>
    <sheet name="Janeiro 2012" sheetId="1" r:id="rId1"/>
    <sheet name="Fevereiro 2012" sheetId="2" r:id="rId2"/>
    <sheet name="Março 2012" sheetId="3" r:id="rId3"/>
    <sheet name="Abril 2012" sheetId="4" r:id="rId4"/>
    <sheet name="Maio 2012" sheetId="5" r:id="rId5"/>
    <sheet name="Junho 2012" sheetId="6" r:id="rId6"/>
    <sheet name="Julho 2012" sheetId="7" r:id="rId7"/>
    <sheet name="Agosto 2012" sheetId="8" r:id="rId8"/>
    <sheet name="Setembro 2012" sheetId="9" r:id="rId9"/>
    <sheet name="Outubro 2012" sheetId="10" r:id="rId10"/>
    <sheet name="Novembro 2012" sheetId="11" r:id="rId11"/>
    <sheet name="Dezembro 2012" sheetId="12" r:id="rId12"/>
  </sheets>
  <definedNames>
    <definedName name="_xlnm.Print_Area" localSheetId="3">'Abril 2012'!$A$1:$N$97</definedName>
    <definedName name="_xlnm.Print_Area" localSheetId="7">'Agosto 2012'!$A$1:$N$110</definedName>
    <definedName name="_xlnm.Print_Area" localSheetId="11">'Dezembro 2012'!$A$1:$N$120</definedName>
    <definedName name="_xlnm.Print_Area" localSheetId="1">'Fevereiro 2012'!$A$1:$N$84</definedName>
    <definedName name="_xlnm.Print_Area" localSheetId="0">'Janeiro 2012'!$A$1:$N$83</definedName>
    <definedName name="_xlnm.Print_Area" localSheetId="6">'Julho 2012'!$A$1:$N$107</definedName>
    <definedName name="_xlnm.Print_Area" localSheetId="5">'Junho 2012'!$A$1:$N$102</definedName>
    <definedName name="_xlnm.Print_Area" localSheetId="4">'Maio 2012'!$A$1:$N$100</definedName>
    <definedName name="_xlnm.Print_Area" localSheetId="2">'Março 2012'!$A$1:$N$92</definedName>
    <definedName name="_xlnm.Print_Area" localSheetId="10">'Novembro 2012'!$A$1:$N$113</definedName>
    <definedName name="_xlnm.Print_Area" localSheetId="9">'Outubro 2012'!$A$1:$N$111</definedName>
    <definedName name="_xlnm.Print_Area" localSheetId="8">'Setembro 2012'!$A$1:$N$111</definedName>
    <definedName name="_xlnm.Print_Titles" localSheetId="3">'Abril 2012'!$2:$2</definedName>
    <definedName name="_xlnm.Print_Titles" localSheetId="7">'Agosto 2012'!$2:$2</definedName>
    <definedName name="_xlnm.Print_Titles" localSheetId="11">'Dezembro 2012'!$2:$2</definedName>
    <definedName name="_xlnm.Print_Titles" localSheetId="1">'Fevereiro 2012'!$2:$2</definedName>
    <definedName name="_xlnm.Print_Titles" localSheetId="0">'Janeiro 2012'!$2:$2</definedName>
    <definedName name="_xlnm.Print_Titles" localSheetId="6">'Julho 2012'!$2:$2</definedName>
    <definedName name="_xlnm.Print_Titles" localSheetId="5">'Junho 2012'!$2:$2</definedName>
    <definedName name="_xlnm.Print_Titles" localSheetId="4">'Maio 2012'!$2:$2</definedName>
    <definedName name="_xlnm.Print_Titles" localSheetId="2">'Março 2012'!$2:$2</definedName>
    <definedName name="_xlnm.Print_Titles" localSheetId="10">'Novembro 2012'!$2:$2</definedName>
    <definedName name="_xlnm.Print_Titles" localSheetId="9">'Outubro 2012'!$2:$2</definedName>
    <definedName name="_xlnm.Print_Titles" localSheetId="8">'Setembro 2012'!$2:$2</definedName>
  </definedNames>
  <calcPr fullCalcOnLoad="1"/>
</workbook>
</file>

<file path=xl/sharedStrings.xml><?xml version="1.0" encoding="utf-8"?>
<sst xmlns="http://schemas.openxmlformats.org/spreadsheetml/2006/main" count="7585" uniqueCount="359">
  <si>
    <t>Item</t>
  </si>
  <si>
    <t>Orgão</t>
  </si>
  <si>
    <t>Programa</t>
  </si>
  <si>
    <t>Objeto</t>
  </si>
  <si>
    <t>Repasse</t>
  </si>
  <si>
    <t>Total</t>
  </si>
  <si>
    <t>Vigência</t>
  </si>
  <si>
    <t>Observações</t>
  </si>
  <si>
    <t>Prestação de Contas</t>
  </si>
  <si>
    <t>Sec.Est.Assist. e Desenvolv.Social</t>
  </si>
  <si>
    <t>Proteção Social Básica</t>
  </si>
  <si>
    <t>Execução descentralizada do Programa Estadual de Proteção Básica e Especial</t>
  </si>
  <si>
    <t>500.454-3</t>
  </si>
  <si>
    <t>em andamento Parcela em atraso</t>
  </si>
  <si>
    <t>Trimestral</t>
  </si>
  <si>
    <t>Proteção Social Especial</t>
  </si>
  <si>
    <t>500.561-2</t>
  </si>
  <si>
    <t>Secr. Educação do Est.de S.Paulo</t>
  </si>
  <si>
    <t>Programa de Ação Cooperativa Estado – Município – PAC</t>
  </si>
  <si>
    <t>Construção e Reformas escolares – EE Jardim Imperial</t>
  </si>
  <si>
    <t>500.569-8</t>
  </si>
  <si>
    <t xml:space="preserve">projeto em aprovação </t>
  </si>
  <si>
    <t xml:space="preserve"> Parcial </t>
  </si>
  <si>
    <t>Programa de Transporte de Alunos da Zona Rural</t>
  </si>
  <si>
    <t>Aquis.de Passes p/alunos do Ensino Básico – Fundamental e Médio</t>
  </si>
  <si>
    <t>500.114-5</t>
  </si>
  <si>
    <t>em andamento</t>
  </si>
  <si>
    <t xml:space="preserve">Parcial </t>
  </si>
  <si>
    <t>Secr. de Ecôn e Planejamento</t>
  </si>
  <si>
    <t>Fundo de Melhoria das Estâncias</t>
  </si>
  <si>
    <t>Bangalô e Espelho D'Água do Jardim do Lago</t>
  </si>
  <si>
    <t>500.553-1</t>
  </si>
  <si>
    <t>projeto em adequação</t>
  </si>
  <si>
    <t>Boulevard Lucas</t>
  </si>
  <si>
    <t>500.552-3</t>
  </si>
  <si>
    <t>em licitação</t>
  </si>
  <si>
    <t>Centro de Des.do Turismo, Exposição e Eventos – Usina</t>
  </si>
  <si>
    <t>500.551-5</t>
  </si>
  <si>
    <t>inicio de obra</t>
  </si>
  <si>
    <t>Praça de Alimentação do Mercado Municipal</t>
  </si>
  <si>
    <t>500.556-6</t>
  </si>
  <si>
    <t>Revitalização do Centro Histórico I</t>
  </si>
  <si>
    <t>500.464-0</t>
  </si>
  <si>
    <t>Revitalização do Centro Histórico II</t>
  </si>
  <si>
    <t>500.522-1</t>
  </si>
  <si>
    <t>Revitalização do Centro Histórico III</t>
  </si>
  <si>
    <t>38.547-6</t>
  </si>
  <si>
    <t>Revitalização e Reforma do Edmundo Zanoni</t>
  </si>
  <si>
    <t>500.554-X</t>
  </si>
  <si>
    <t>Revitalização de Praças – Guilherme Gonçalves</t>
  </si>
  <si>
    <t>5.258-2</t>
  </si>
  <si>
    <t>Revitalização do Entorno do Balneário II</t>
  </si>
  <si>
    <t>5259-0</t>
  </si>
  <si>
    <t>Secr. de Turismo</t>
  </si>
  <si>
    <t>Revitalização do Parque Edmundo Zanoni II</t>
  </si>
  <si>
    <t>5.954-4</t>
  </si>
  <si>
    <t>Reforma e Ampliação do Tetatro Cine Itá</t>
  </si>
  <si>
    <t>5.970-6</t>
  </si>
  <si>
    <t>Unidade de Articulação dos Municípios</t>
  </si>
  <si>
    <t>Construção de Creche no CTB</t>
  </si>
  <si>
    <t>500.559-0</t>
  </si>
  <si>
    <t>Recuperação de Danos – Recapeamento Asfáltico Bº Parque das Nações, Vila Carvalho e Jardim Roseli, Muro de Contenção e Escada Hidraúlica no Parque das Nações,</t>
  </si>
  <si>
    <t>500.406-3</t>
  </si>
  <si>
    <t>Secr.Estadual de Saúde</t>
  </si>
  <si>
    <t>Transf.Voluntária Fundo Estadual de Saúde</t>
  </si>
  <si>
    <t>Aquis. de medicamentos para Diabetes</t>
  </si>
  <si>
    <t>500.538-8</t>
  </si>
  <si>
    <t>Indeterminado</t>
  </si>
  <si>
    <t>Final</t>
  </si>
  <si>
    <t>Controle da Tuberculose</t>
  </si>
  <si>
    <t>Termo Aditivo Emenda Parlamentar</t>
  </si>
  <si>
    <t>Custeio – Serviços – Santa Casa</t>
  </si>
  <si>
    <t>5.340-6</t>
  </si>
  <si>
    <t>Equipamentos para utilização na Santa Casa</t>
  </si>
  <si>
    <t>5.341-4</t>
  </si>
  <si>
    <t>Pró Santa Casa 2</t>
  </si>
  <si>
    <t>TA 01/11 para Custeio Pró Santa Casa 2</t>
  </si>
  <si>
    <t>5.445-3</t>
  </si>
  <si>
    <t>TA 02/11 para Custeio Pró Santa Casa 2</t>
  </si>
  <si>
    <t>5.929-3</t>
  </si>
  <si>
    <t>Secr.de Estado do Meio Ambiente</t>
  </si>
  <si>
    <t>FEHIDRO</t>
  </si>
  <si>
    <t>Iimplant. do Sistema de Iinformações Ambientais</t>
  </si>
  <si>
    <t>500.529-9</t>
  </si>
  <si>
    <t>De acordo com andamento do projeto</t>
  </si>
  <si>
    <t>Serviço Nacional de Aprendizagem Rural</t>
  </si>
  <si>
    <t>Programas Empresário Rural, Turismo Rural e Pecuária Leiteira</t>
  </si>
  <si>
    <t>Cursos para Produtores Rurais</t>
  </si>
  <si>
    <t>26.103-3</t>
  </si>
  <si>
    <t>Ministério da Agricultura</t>
  </si>
  <si>
    <t>PRODESA</t>
  </si>
  <si>
    <t>Aquisição de 01 Retro Escavadeira e 01 Caminhão</t>
  </si>
  <si>
    <t>647.061-0</t>
  </si>
  <si>
    <t>Ministério da Educação</t>
  </si>
  <si>
    <t>Merenda – Prog. Nac.de Alimentação Escolar</t>
  </si>
  <si>
    <t>Fornecim.de Alimentação aos Alunos do Ens.Infantil/Básico – Fundamental, Creche e Pré Escola, Médio e EJA</t>
  </si>
  <si>
    <t>34.603-9</t>
  </si>
  <si>
    <t>PNATE – Progr. Nac.de Apoio ao Transp.Escolar</t>
  </si>
  <si>
    <t>20.843-4</t>
  </si>
  <si>
    <t>PDDE</t>
  </si>
  <si>
    <t>Aquisição para material de consumo p/escolas incluidas no censo com menos de 50 alunos que não fazem parte do Grupo de Escolas Isoladas</t>
  </si>
  <si>
    <t>7.537-X</t>
  </si>
  <si>
    <t>Brasil Alfabetizado</t>
  </si>
  <si>
    <t>Capac.de alfabetizadores e alfabetização de Jovens e Adultos</t>
  </si>
  <si>
    <t>27.406-2</t>
  </si>
  <si>
    <t>PAC II – Proinfância</t>
  </si>
  <si>
    <t>Construção de Creche</t>
  </si>
  <si>
    <t>40.637-6</t>
  </si>
  <si>
    <t>Construção de Creche do Jardim Colonial</t>
  </si>
  <si>
    <t>41.241-4</t>
  </si>
  <si>
    <t>Prójovem – FNDE</t>
  </si>
  <si>
    <t>Cursos de Qualificação Profissional</t>
  </si>
  <si>
    <t>41.445-X</t>
  </si>
  <si>
    <t>Projeto em analise</t>
  </si>
  <si>
    <t>Minist. da Ciência e Tecnologia</t>
  </si>
  <si>
    <t>Inclusão Digital</t>
  </si>
  <si>
    <t>Informatização da educação</t>
  </si>
  <si>
    <t>647.037-8</t>
  </si>
  <si>
    <t>Minist.do Desenv Combate a Fome</t>
  </si>
  <si>
    <t>IGD – Indíce de Gestão do Bolsa Família 2011</t>
  </si>
  <si>
    <t>5.859-9</t>
  </si>
  <si>
    <t>Atraso no repasse</t>
  </si>
  <si>
    <t>BPC na Escola – Questionário 2009</t>
  </si>
  <si>
    <t>37.602-7</t>
  </si>
  <si>
    <t>BPC na Escola – Questionário 2010</t>
  </si>
  <si>
    <t>Piso Básico Fixo – PBF 2011</t>
  </si>
  <si>
    <t>5.861-0</t>
  </si>
  <si>
    <t>Piso Básico de Transição 2009</t>
  </si>
  <si>
    <t>26.038-X</t>
  </si>
  <si>
    <t>Pró Jovem – PBV I 2011</t>
  </si>
  <si>
    <t>5.866-1</t>
  </si>
  <si>
    <t>010/1/11</t>
  </si>
  <si>
    <t>Piso Básico Variável II  – PBV II 2011</t>
  </si>
  <si>
    <t>5.861-9</t>
  </si>
  <si>
    <t>Piso de Alta Complexidade I</t>
  </si>
  <si>
    <t>5.860-2</t>
  </si>
  <si>
    <t>Piso Fixo Média Complex. II 2011</t>
  </si>
  <si>
    <t>5.864-5</t>
  </si>
  <si>
    <t>Piso Fixo Média Complex. III  2011</t>
  </si>
  <si>
    <t>5.865-3</t>
  </si>
  <si>
    <t>Piso de Transição de Média Complexidade 2011</t>
  </si>
  <si>
    <t>5.867-X</t>
  </si>
  <si>
    <t>PVMC – Piso Variável Média Complexidade 2011</t>
  </si>
  <si>
    <t>5.868-8</t>
  </si>
  <si>
    <t>IGD – Indíce de Gestão do SUAS 2011</t>
  </si>
  <si>
    <t>6.028-3</t>
  </si>
  <si>
    <t>Segurança Alimentar</t>
  </si>
  <si>
    <t>Elab. Proj .Bás. executivo, mod.equip.Restaurante Pop</t>
  </si>
  <si>
    <t>647.050-5</t>
  </si>
  <si>
    <t>Ministério da Integração Nacional</t>
  </si>
  <si>
    <t>Açóes de Recuperação e Reconstruções</t>
  </si>
  <si>
    <t xml:space="preserve">Recuperação de Pontes </t>
  </si>
  <si>
    <t>006.147-3</t>
  </si>
  <si>
    <t>Ministério das Cidades</t>
  </si>
  <si>
    <t>Urbaniz. Regulariz. e Integr.  Assent. Precário</t>
  </si>
  <si>
    <t>Caetetuba I</t>
  </si>
  <si>
    <t>647.013-0</t>
  </si>
  <si>
    <t>Caetetuba II / Guaxinduva</t>
  </si>
  <si>
    <t>647.024-0</t>
  </si>
  <si>
    <t>adequação de projeto</t>
  </si>
  <si>
    <t>Vila São José</t>
  </si>
  <si>
    <t>647.062-4</t>
  </si>
  <si>
    <t>Gestão de Política de Desenvolv  Urbano</t>
  </si>
  <si>
    <t>Estrada dos Pires I</t>
  </si>
  <si>
    <t>647.052-1</t>
  </si>
  <si>
    <t>Drenagem Urbana na Estrada dos Pires II</t>
  </si>
  <si>
    <t>647.069-6</t>
  </si>
  <si>
    <t>Desassoriamento Folha Larga I</t>
  </si>
  <si>
    <t>647.051-3</t>
  </si>
  <si>
    <t>Desassoriamento Folha Larga II</t>
  </si>
  <si>
    <t>647.073-4</t>
  </si>
  <si>
    <t>Ministério dos Esportes</t>
  </si>
  <si>
    <t>Esporte e Lazer na Cidade</t>
  </si>
  <si>
    <t>Construção de Espaço Esportivo Multiuso anexo ao Ginásio Cido Franco</t>
  </si>
  <si>
    <t>647.055-6</t>
  </si>
  <si>
    <t>Ministério do Turismo</t>
  </si>
  <si>
    <t>Turismo no Brasil</t>
  </si>
  <si>
    <t>Implantação de Sinalização Turística</t>
  </si>
  <si>
    <t>647.048-3</t>
  </si>
  <si>
    <t>Produtos Turísticos de Atibaia</t>
  </si>
  <si>
    <t>006.141-4</t>
  </si>
  <si>
    <t>Ministério da Saúde</t>
  </si>
  <si>
    <t>Vigilância em Saúde</t>
  </si>
  <si>
    <t>ANVISA 2011</t>
  </si>
  <si>
    <t>37.474-1</t>
  </si>
  <si>
    <t>Vigilância Epidemiológica</t>
  </si>
  <si>
    <t>PAM / DST / AIDS 2011</t>
  </si>
  <si>
    <t>37.469-5</t>
  </si>
  <si>
    <t>Atenção as Urgências</t>
  </si>
  <si>
    <t>UPA – Unidade de Pronto Atendimento</t>
  </si>
  <si>
    <t>38.644-8</t>
  </si>
  <si>
    <t>Saúde Bucal</t>
  </si>
  <si>
    <t>CEO – Centro Especializ. Odontológico 2011</t>
  </si>
  <si>
    <t>37.473-3</t>
  </si>
  <si>
    <t>Medicamentos</t>
  </si>
  <si>
    <t>Medicamentos HD/AR</t>
  </si>
  <si>
    <t>37.470-9</t>
  </si>
  <si>
    <t>PPI – Atibaia Ativa</t>
  </si>
  <si>
    <t>PPI – ECD 2011</t>
  </si>
  <si>
    <t>Gestão de Políticas da Saúde</t>
  </si>
  <si>
    <t>Manutenção da Ouvidoria da Saúde</t>
  </si>
  <si>
    <t>39.587-3</t>
  </si>
  <si>
    <t>Implantação do CAPS II</t>
  </si>
  <si>
    <t>Formação Agentes Comunitários</t>
  </si>
  <si>
    <t>PAC II – Implantação de Unidades Básicas de Saúde</t>
  </si>
  <si>
    <t>Construção da UBS do Bairro Jardim Cerejeiras</t>
  </si>
  <si>
    <t>40.808-5</t>
  </si>
  <si>
    <t>Construção da UBS do Bairro do Portão</t>
  </si>
  <si>
    <t>40.809-3</t>
  </si>
  <si>
    <t>Construção da UBS do Bairro Jardim Alvinópolis</t>
  </si>
  <si>
    <t>40.810-7</t>
  </si>
  <si>
    <t>Construção da UBS do Bairro Jardim Imperial</t>
  </si>
  <si>
    <t>40.411-5</t>
  </si>
  <si>
    <t>Construção da UBS do Bairro Recreio Estoril</t>
  </si>
  <si>
    <t>40.412-3</t>
  </si>
  <si>
    <t>TOTAIS</t>
  </si>
  <si>
    <t>Contra Partida</t>
  </si>
  <si>
    <t>Conta
  Corrente</t>
  </si>
  <si>
    <t>Valor  Contratado</t>
  </si>
  <si>
    <t>Recebido exerc. ant</t>
  </si>
  <si>
    <t>Data
Assinatura</t>
  </si>
  <si>
    <t>Rita de Cássia Gonçalves Martins</t>
  </si>
  <si>
    <t>Roberto Rolli</t>
  </si>
  <si>
    <t>José Bernardo Denig</t>
  </si>
  <si>
    <t>Secretária Adjunta de Planejamento e Finanças</t>
  </si>
  <si>
    <t>Secretário de Planejamento e Finanças</t>
  </si>
  <si>
    <t>Prefeito Municipal</t>
  </si>
  <si>
    <t>Convênios com Órgãos do Governo Municipal – Estadual e Federal – Recursos Recebidos de Janeiro de 2012</t>
  </si>
  <si>
    <t>PAC II – Quadra</t>
  </si>
  <si>
    <t>Construção de Quadra</t>
  </si>
  <si>
    <t>5.913-7</t>
  </si>
  <si>
    <t xml:space="preserve">Pró Jovem – PBV I </t>
  </si>
  <si>
    <t xml:space="preserve">Piso Básico Variável II  – PBV II </t>
  </si>
  <si>
    <t xml:space="preserve">Piso de Transição de Média Complexidade </t>
  </si>
  <si>
    <t xml:space="preserve">PVMC – Piso Variável Média Complexidade </t>
  </si>
  <si>
    <t>IGD – Indíce de Gestão do SUAS</t>
  </si>
  <si>
    <t xml:space="preserve">ANVISA </t>
  </si>
  <si>
    <t xml:space="preserve">PAM / DST / AIDS </t>
  </si>
  <si>
    <t>Atibaia – SP, 29 de Fevereiro de 2012</t>
  </si>
  <si>
    <t>Atibaia – SP, 31 de Janeiro de 2012</t>
  </si>
  <si>
    <t>Convênios com Órgãos do Governo Municipal – Estadual e Federal – Recursos Recebidos de Janeiro a Fevereiro de 2012</t>
  </si>
  <si>
    <t>Convênios com Órgãos do Governo Municipal – Estadual e Federal – Recursos Recebidos de Janeiro a Março de 2012</t>
  </si>
  <si>
    <t>IGD – Indíce de Gestão do Bolsa Família 2012</t>
  </si>
  <si>
    <t>Piso Básico Fixo – PBF 2012</t>
  </si>
  <si>
    <t>Pró Jovem – PBV I  2011</t>
  </si>
  <si>
    <t>Pró Jovem – PBV I  2012</t>
  </si>
  <si>
    <t>Piso Básico Variável II  – PBV II 2012</t>
  </si>
  <si>
    <t>Piso Fixo Média Complexidade 2012</t>
  </si>
  <si>
    <t>Piso de Transição de Média Complexidade 2012</t>
  </si>
  <si>
    <t>IGD – Indíce de Gestão do SUAS 2012</t>
  </si>
  <si>
    <t>CEO – Centro Especializ. Odontológico 2011 / 2012</t>
  </si>
  <si>
    <t>Medicamentos – Farmácia Básica</t>
  </si>
  <si>
    <t>Polos da Academia da Saúde</t>
  </si>
  <si>
    <t>Construção de Polos da Academia da Saúde Ampl</t>
  </si>
  <si>
    <t>41.532-4</t>
  </si>
  <si>
    <t>Atibaia – SP, 31 de Março de 2012</t>
  </si>
  <si>
    <t>Convênios com Órgãos do Governo Municipal – Estadual e Federal – Recursos Recebidos de Janeiro a Abril de 2012</t>
  </si>
  <si>
    <t>Secr. Educação do Est. de S. Paulo – DSE</t>
  </si>
  <si>
    <t>Merenda Escolar</t>
  </si>
  <si>
    <t>Fornec. de alimentação p/ alunos do Ensino Básico – Fundamental, EJA e Médio</t>
  </si>
  <si>
    <t>38.576-X</t>
  </si>
  <si>
    <t>Recapeamento Pq das Nações, Pq dos Coqueiros e Terceiro Centenário</t>
  </si>
  <si>
    <t>5.928-5</t>
  </si>
  <si>
    <t>Dose Certa</t>
  </si>
  <si>
    <t>5.946-3</t>
  </si>
  <si>
    <t>TA 01/12 para Custeio Pró Santa Casa</t>
  </si>
  <si>
    <t>6.369-X</t>
  </si>
  <si>
    <t>Programa Caminho da Escola</t>
  </si>
  <si>
    <t>Aquisição de veículo escolar</t>
  </si>
  <si>
    <t>672.004-1</t>
  </si>
  <si>
    <t>Atibaia – SP, 30 de Abril de 2012</t>
  </si>
  <si>
    <t>projeto em aprovação</t>
  </si>
  <si>
    <t xml:space="preserve"> Parcial</t>
  </si>
  <si>
    <t>Parcial</t>
  </si>
  <si>
    <t>Sec.de Esporte, Lazer e Juventude</t>
  </si>
  <si>
    <t>Jogos Regionais</t>
  </si>
  <si>
    <t>56º Jogos Regionais da 4ª Região Esportiva</t>
  </si>
  <si>
    <t>6.186-7</t>
  </si>
  <si>
    <t>PVMC – Piso Variável Média Complexidade</t>
  </si>
  <si>
    <t>Recuperação de Pontes</t>
  </si>
  <si>
    <t>ANVISA</t>
  </si>
  <si>
    <t>PAM / DST / AIDS</t>
  </si>
  <si>
    <t>Convênios com Órgãos do Governo Municipal – Estadual e Federal – Recursos Recebidos de Janeiro a Maio de 2012</t>
  </si>
  <si>
    <t>Atibaia – SP, 31 de Maio de 2012</t>
  </si>
  <si>
    <t>Convênios com Órgãos do Governo Municipal – Estadual e Federal – Recursos Recebidos de Janeiro a Junho de 2012</t>
  </si>
  <si>
    <t xml:space="preserve">em andamento </t>
  </si>
  <si>
    <t>Programa de Requalificação de UBS</t>
  </si>
  <si>
    <t>Ampliação UBS Cerejeiras</t>
  </si>
  <si>
    <t>6.553-6</t>
  </si>
  <si>
    <t>Ampliação UBS Cachoeira</t>
  </si>
  <si>
    <t>6.555-2</t>
  </si>
  <si>
    <t>Atibaia – SP, 30 de Junho de 2012</t>
  </si>
  <si>
    <t>Convênios com Órgãos do Governo Municipal – Estadual e Federal – Recursos Recebidos de Janeiro a Julho de 2012</t>
  </si>
  <si>
    <t>Encerrado Parcela em atraso</t>
  </si>
  <si>
    <t>Semestral</t>
  </si>
  <si>
    <t>Sec.Agropecuária e Abastecimento</t>
  </si>
  <si>
    <t>S E I A A</t>
  </si>
  <si>
    <t>Material de consumo para manutenção de estradas rurais</t>
  </si>
  <si>
    <t>500.134-X</t>
  </si>
  <si>
    <t>TA 02/12 Aquis Eq Médico e Mat p/UBS – Emendas</t>
  </si>
  <si>
    <t>6.611-7</t>
  </si>
  <si>
    <t>Qualis UBS</t>
  </si>
  <si>
    <t>TA 03/12 Aquis Mat p/UBS – Qualis UBS</t>
  </si>
  <si>
    <t>6.633-8</t>
  </si>
  <si>
    <t>Segurança e Educação no Trânsito</t>
  </si>
  <si>
    <t>Impl. sistema semafórico e sinal horizontal, vertical e faixas travessia pedestr c/rampas  acessibilidade</t>
  </si>
  <si>
    <t>647.070-0</t>
  </si>
  <si>
    <t>6.437-8</t>
  </si>
  <si>
    <t>6.440-8</t>
  </si>
  <si>
    <t>6.441-6</t>
  </si>
  <si>
    <t>6.438-6</t>
  </si>
  <si>
    <t>SAMU</t>
  </si>
  <si>
    <t>Manutenção SAMU</t>
  </si>
  <si>
    <t>Atibaia – SP, 31 de Julho de 2012</t>
  </si>
  <si>
    <t>Convênios com Órgãos do Governo Municipal – Estadual e Federal – Recursos Recebidos de Janeiro a Agosto de 2012</t>
  </si>
  <si>
    <t>C.D.H.U.</t>
  </si>
  <si>
    <t>Construção de unidades habitacionais</t>
  </si>
  <si>
    <t>Aquis.material construção p/conclusão de 140 unid. Habitacionais  Atibaia D</t>
  </si>
  <si>
    <t>500.355-5</t>
  </si>
  <si>
    <t>Encerrado</t>
  </si>
  <si>
    <t>TA 04/12 para Custeio Pró Santa Casa</t>
  </si>
  <si>
    <t>6.793-8</t>
  </si>
  <si>
    <t>PRODESA II</t>
  </si>
  <si>
    <t>Aquisição de Patrulha Agrícola Mecanizada</t>
  </si>
  <si>
    <t>647.078-5</t>
  </si>
  <si>
    <t>Atibaia – SP, 31 de Agosto de 2012</t>
  </si>
  <si>
    <t>Convênios com Órgãos do Governo Municipal – Estadual e Federal – Recursos Recebidos de Janeiro a Setembro de 2012</t>
  </si>
  <si>
    <t>Pró Municípios</t>
  </si>
  <si>
    <t>Recapeamento Parque dos Coqueiros</t>
  </si>
  <si>
    <t>647.067-0</t>
  </si>
  <si>
    <t>Atibaia – SP, 30 de Setembro de 2012</t>
  </si>
  <si>
    <t>Convênios com Órgãos do Governo Municipal – Estadual e Federal – Recursos Recebidos de Janeiro a Outubro de 2012</t>
  </si>
  <si>
    <t>Atibaia – SP, 31 de Outubro de 2012</t>
  </si>
  <si>
    <t>Convênios com Órgãos do Governo Municipal – Estadual e Federal – Recursos Recebidos de Janeiro a Novembro de 2012</t>
  </si>
  <si>
    <t>Aditrivo para execução descentralizada do Progra Estadual Prot Básica Especial</t>
  </si>
  <si>
    <t>6.612-5</t>
  </si>
  <si>
    <t>UPA – Unidade de Pronto Atendimento – Equipam</t>
  </si>
  <si>
    <t xml:space="preserve">U P A </t>
  </si>
  <si>
    <t>Manutenção UPA</t>
  </si>
  <si>
    <t>6.438-5</t>
  </si>
  <si>
    <t>Atibaia – SP, 30 de Novembro de 2012</t>
  </si>
  <si>
    <t>Convênios com Órgãos do Governo Municipal – Estadual e Federal – Recursos Recebidos de Janeiro a Dezembro de 2012</t>
  </si>
  <si>
    <t>Reforma do Jardim do Lago e Pista de Cooper II</t>
  </si>
  <si>
    <t>6.334-7</t>
  </si>
  <si>
    <t>Emenda Parlamentar</t>
  </si>
  <si>
    <t>Ciclo Natalino de Atibaia 2012</t>
  </si>
  <si>
    <t>6.506-4</t>
  </si>
  <si>
    <t>Recapeamento do Jardim Siriema</t>
  </si>
  <si>
    <t>6.345-2</t>
  </si>
  <si>
    <t>Recapeamento do Recreio Estoril</t>
  </si>
  <si>
    <t>6.470-X</t>
  </si>
  <si>
    <t>Recapeamento da Jeronimo de Camargo</t>
  </si>
  <si>
    <t>7.005-X</t>
  </si>
  <si>
    <t>Elab. Proj .Bás. executivo, mod. Equip. Restaurante Pop</t>
  </si>
  <si>
    <t>Pavimentação Jardim Cerejeiras</t>
  </si>
  <si>
    <t>647.075-0</t>
  </si>
  <si>
    <t>Equipamento para UBS Boa Vista</t>
  </si>
  <si>
    <t>6.966-3</t>
  </si>
  <si>
    <t>Atibaia – SP, 31 de Dezembro de 2012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</si>
</sst>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0.00;[Red]#,##0.00"/>
    <numFmt numFmtId="166" formatCode="#,###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7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b/>
      <sz val="18"/>
      <color indexed="2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b/>
      <sz val="18"/>
      <color rgb="FF005F89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Alignment="1">
      <alignment/>
    </xf>
    <xf numFmtId="0" fontId="0" fillId="0" borderId="0" xfId="48" applyFont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48" applyFont="1" applyAlignment="1">
      <alignment horizontal="center"/>
      <protection/>
    </xf>
    <xf numFmtId="164" fontId="0" fillId="0" borderId="0" xfId="48" applyNumberFormat="1" applyFont="1">
      <alignment/>
      <protection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6" fillId="0" borderId="0" xfId="48" applyFont="1" applyAlignment="1">
      <alignment horizontal="center"/>
      <protection/>
    </xf>
    <xf numFmtId="0" fontId="24" fillId="0" borderId="11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 wrapText="1" indent="1"/>
    </xf>
    <xf numFmtId="43" fontId="24" fillId="33" borderId="12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/>
    </xf>
    <xf numFmtId="43" fontId="24" fillId="33" borderId="12" xfId="0" applyNumberFormat="1" applyFont="1" applyFill="1" applyBorder="1" applyAlignment="1">
      <alignment horizontal="right" vertical="center"/>
    </xf>
    <xf numFmtId="43" fontId="24" fillId="33" borderId="12" xfId="0" applyNumberFormat="1" applyFont="1" applyFill="1" applyBorder="1" applyAlignment="1">
      <alignment horizontal="center" vertical="center"/>
    </xf>
    <xf numFmtId="164" fontId="24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164" fontId="24" fillId="3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33" borderId="15" xfId="0" applyFont="1" applyFill="1" applyBorder="1" applyAlignment="1">
      <alignment horizontal="left" vertical="center" wrapText="1" indent="1"/>
    </xf>
    <xf numFmtId="43" fontId="24" fillId="33" borderId="15" xfId="0" applyNumberFormat="1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 wrapText="1"/>
    </xf>
    <xf numFmtId="43" fontId="24" fillId="33" borderId="15" xfId="0" applyNumberFormat="1" applyFont="1" applyFill="1" applyBorder="1" applyAlignment="1">
      <alignment horizontal="right" vertical="center" wrapText="1"/>
    </xf>
    <xf numFmtId="43" fontId="24" fillId="33" borderId="15" xfId="0" applyNumberFormat="1" applyFont="1" applyFill="1" applyBorder="1" applyAlignment="1">
      <alignment horizontal="center" vertical="center"/>
    </xf>
    <xf numFmtId="164" fontId="24" fillId="33" borderId="15" xfId="0" applyNumberFormat="1" applyFont="1" applyFill="1" applyBorder="1" applyAlignment="1">
      <alignment horizontal="center" vertical="center"/>
    </xf>
    <xf numFmtId="164" fontId="24" fillId="33" borderId="16" xfId="0" applyNumberFormat="1" applyFont="1" applyFill="1" applyBorder="1" applyAlignment="1">
      <alignment horizontal="center" vertical="center" wrapText="1"/>
    </xf>
    <xf numFmtId="43" fontId="24" fillId="33" borderId="15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43" fontId="24" fillId="33" borderId="15" xfId="0" applyNumberFormat="1" applyFont="1" applyFill="1" applyBorder="1" applyAlignment="1">
      <alignment horizontal="right" vertical="center"/>
    </xf>
    <xf numFmtId="164" fontId="24" fillId="33" borderId="15" xfId="0" applyNumberFormat="1" applyFont="1" applyFill="1" applyBorder="1" applyAlignment="1">
      <alignment horizontal="center" vertical="center" wrapText="1"/>
    </xf>
    <xf numFmtId="43" fontId="24" fillId="0" borderId="15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left" vertical="center" wrapText="1" indent="1"/>
    </xf>
    <xf numFmtId="43" fontId="24" fillId="33" borderId="18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43" fontId="24" fillId="33" borderId="18" xfId="0" applyNumberFormat="1" applyFont="1" applyFill="1" applyBorder="1" applyAlignment="1">
      <alignment horizontal="right" vertical="center"/>
    </xf>
    <xf numFmtId="43" fontId="24" fillId="33" borderId="18" xfId="0" applyNumberFormat="1" applyFont="1" applyFill="1" applyBorder="1" applyAlignment="1">
      <alignment horizontal="center" vertical="center"/>
    </xf>
    <xf numFmtId="164" fontId="24" fillId="33" borderId="18" xfId="0" applyNumberFormat="1" applyFont="1" applyFill="1" applyBorder="1" applyAlignment="1">
      <alignment horizontal="center" vertical="center"/>
    </xf>
    <xf numFmtId="164" fontId="24" fillId="33" borderId="18" xfId="0" applyNumberFormat="1" applyFont="1" applyFill="1" applyBorder="1" applyAlignment="1">
      <alignment horizontal="center" vertical="center" wrapText="1"/>
    </xf>
    <xf numFmtId="164" fontId="24" fillId="33" borderId="19" xfId="0" applyNumberFormat="1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center" vertical="center"/>
    </xf>
    <xf numFmtId="43" fontId="25" fillId="32" borderId="21" xfId="0" applyNumberFormat="1" applyFont="1" applyFill="1" applyBorder="1" applyAlignment="1">
      <alignment vertical="center"/>
    </xf>
    <xf numFmtId="43" fontId="25" fillId="32" borderId="22" xfId="0" applyNumberFormat="1" applyFont="1" applyFill="1" applyBorder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/>
    </xf>
    <xf numFmtId="164" fontId="50" fillId="34" borderId="22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right" vertical="center" indent="1"/>
    </xf>
    <xf numFmtId="164" fontId="24" fillId="33" borderId="13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right" vertical="center" wrapText="1" indent="1"/>
    </xf>
    <xf numFmtId="0" fontId="24" fillId="33" borderId="15" xfId="0" applyFont="1" applyFill="1" applyBorder="1" applyAlignment="1">
      <alignment horizontal="right" vertical="center" indent="1"/>
    </xf>
    <xf numFmtId="164" fontId="24" fillId="33" borderId="16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 vertical="center" indent="1"/>
    </xf>
    <xf numFmtId="164" fontId="24" fillId="33" borderId="19" xfId="0" applyNumberFormat="1" applyFont="1" applyFill="1" applyBorder="1" applyAlignment="1">
      <alignment horizontal="center" vertical="center"/>
    </xf>
    <xf numFmtId="0" fontId="25" fillId="32" borderId="23" xfId="0" applyFont="1" applyFill="1" applyBorder="1" applyAlignment="1">
      <alignment horizontal="center" vertical="center"/>
    </xf>
    <xf numFmtId="43" fontId="25" fillId="32" borderId="24" xfId="0" applyNumberFormat="1" applyFont="1" applyFill="1" applyBorder="1" applyAlignment="1">
      <alignment vertical="center"/>
    </xf>
    <xf numFmtId="43" fontId="25" fillId="32" borderId="25" xfId="0" applyNumberFormat="1" applyFont="1" applyFill="1" applyBorder="1" applyAlignment="1">
      <alignment vertical="center"/>
    </xf>
    <xf numFmtId="164" fontId="24" fillId="33" borderId="12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indent="1"/>
    </xf>
    <xf numFmtId="0" fontId="24" fillId="33" borderId="18" xfId="0" applyFont="1" applyFill="1" applyBorder="1" applyAlignment="1">
      <alignment horizontal="left" vertical="center" indent="1"/>
    </xf>
    <xf numFmtId="0" fontId="27" fillId="0" borderId="14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164" fontId="24" fillId="33" borderId="15" xfId="0" applyNumberFormat="1" applyFont="1" applyFill="1" applyBorder="1" applyAlignment="1">
      <alignment horizontal="justify" vertical="center"/>
    </xf>
    <xf numFmtId="0" fontId="24" fillId="0" borderId="12" xfId="0" applyFont="1" applyBorder="1" applyAlignment="1">
      <alignment horizontal="left" vertical="center" wrapText="1" indent="1"/>
    </xf>
    <xf numFmtId="164" fontId="25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zoomScalePageLayoutView="0" workbookViewId="0" topLeftCell="A73">
      <selection activeCell="I79" sqref="I7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0</v>
      </c>
      <c r="F3" s="28">
        <v>0</v>
      </c>
      <c r="G3" s="28">
        <f aca="true" t="shared" si="0" ref="G3:G34">E3+F3</f>
        <v>0</v>
      </c>
      <c r="H3" s="29" t="s">
        <v>12</v>
      </c>
      <c r="I3" s="30">
        <f>12*8415</f>
        <v>100980</v>
      </c>
      <c r="J3" s="31">
        <f>25245+16830+8415+33660+8415</f>
        <v>92565</v>
      </c>
      <c r="K3" s="32">
        <v>40545</v>
      </c>
      <c r="L3" s="32">
        <v>40908</v>
      </c>
      <c r="M3" s="33" t="s">
        <v>13</v>
      </c>
      <c r="N3" s="34" t="s">
        <v>14</v>
      </c>
    </row>
    <row r="4" spans="1:14" s="4" customFormat="1" ht="49.5" customHeight="1">
      <c r="A4" s="35">
        <f aca="true" t="shared" si="1" ref="A4:A35">A3+1</f>
        <v>2</v>
      </c>
      <c r="B4" s="36" t="s">
        <v>9</v>
      </c>
      <c r="C4" s="36" t="s">
        <v>15</v>
      </c>
      <c r="D4" s="36" t="s">
        <v>11</v>
      </c>
      <c r="E4" s="37">
        <v>0</v>
      </c>
      <c r="F4" s="37">
        <v>0</v>
      </c>
      <c r="G4" s="37">
        <f t="shared" si="0"/>
        <v>0</v>
      </c>
      <c r="H4" s="38" t="s">
        <v>16</v>
      </c>
      <c r="I4" s="39">
        <f>7150*12</f>
        <v>85800</v>
      </c>
      <c r="J4" s="40">
        <f>21450+14300+7150+28600+7150</f>
        <v>78650</v>
      </c>
      <c r="K4" s="41">
        <v>40545</v>
      </c>
      <c r="L4" s="41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17</v>
      </c>
      <c r="C5" s="36" t="s">
        <v>18</v>
      </c>
      <c r="D5" s="36" t="s">
        <v>19</v>
      </c>
      <c r="E5" s="37">
        <v>0</v>
      </c>
      <c r="F5" s="37">
        <v>0</v>
      </c>
      <c r="G5" s="37">
        <f t="shared" si="0"/>
        <v>0</v>
      </c>
      <c r="H5" s="38" t="s">
        <v>20</v>
      </c>
      <c r="I5" s="39">
        <v>2556407.93</v>
      </c>
      <c r="J5" s="43">
        <v>383461.19</v>
      </c>
      <c r="K5" s="41">
        <v>40142</v>
      </c>
      <c r="L5" s="41">
        <v>40872</v>
      </c>
      <c r="M5" s="38" t="s">
        <v>21</v>
      </c>
      <c r="N5" s="42" t="s">
        <v>22</v>
      </c>
    </row>
    <row r="6" spans="1:14" s="4" customFormat="1" ht="49.5" customHeight="1">
      <c r="A6" s="35">
        <f t="shared" si="1"/>
        <v>4</v>
      </c>
      <c r="B6" s="36" t="s">
        <v>17</v>
      </c>
      <c r="C6" s="36" t="s">
        <v>23</v>
      </c>
      <c r="D6" s="36" t="s">
        <v>24</v>
      </c>
      <c r="E6" s="37">
        <v>0</v>
      </c>
      <c r="F6" s="37">
        <v>0</v>
      </c>
      <c r="G6" s="37">
        <f t="shared" si="0"/>
        <v>0</v>
      </c>
      <c r="H6" s="38" t="s">
        <v>25</v>
      </c>
      <c r="I6" s="39">
        <v>2792271</v>
      </c>
      <c r="J6" s="40">
        <f>279227.1+279227.1+279227.1+279227.1+279227.1</f>
        <v>1396135.5</v>
      </c>
      <c r="K6" s="41">
        <v>39995</v>
      </c>
      <c r="L6" s="41">
        <v>41820</v>
      </c>
      <c r="M6" s="38" t="s">
        <v>26</v>
      </c>
      <c r="N6" s="42" t="s">
        <v>27</v>
      </c>
    </row>
    <row r="7" spans="1:14" s="4" customFormat="1" ht="49.5" customHeight="1">
      <c r="A7" s="35">
        <f t="shared" si="1"/>
        <v>5</v>
      </c>
      <c r="B7" s="36" t="s">
        <v>28</v>
      </c>
      <c r="C7" s="36" t="s">
        <v>29</v>
      </c>
      <c r="D7" s="36" t="s">
        <v>30</v>
      </c>
      <c r="E7" s="37">
        <v>0</v>
      </c>
      <c r="F7" s="37">
        <v>0</v>
      </c>
      <c r="G7" s="37">
        <f t="shared" si="0"/>
        <v>0</v>
      </c>
      <c r="H7" s="38" t="s">
        <v>31</v>
      </c>
      <c r="I7" s="39">
        <v>273666.94</v>
      </c>
      <c r="J7" s="43">
        <v>273666.94</v>
      </c>
      <c r="K7" s="41">
        <v>40178</v>
      </c>
      <c r="L7" s="41">
        <v>40542</v>
      </c>
      <c r="M7" s="38" t="s">
        <v>32</v>
      </c>
      <c r="N7" s="42" t="s">
        <v>27</v>
      </c>
    </row>
    <row r="8" spans="1:14" s="4" customFormat="1" ht="49.5" customHeight="1">
      <c r="A8" s="35">
        <f t="shared" si="1"/>
        <v>6</v>
      </c>
      <c r="B8" s="36" t="s">
        <v>28</v>
      </c>
      <c r="C8" s="36" t="s">
        <v>29</v>
      </c>
      <c r="D8" s="36" t="s">
        <v>33</v>
      </c>
      <c r="E8" s="37">
        <v>0</v>
      </c>
      <c r="F8" s="37">
        <v>0</v>
      </c>
      <c r="G8" s="37">
        <f t="shared" si="0"/>
        <v>0</v>
      </c>
      <c r="H8" s="38" t="s">
        <v>34</v>
      </c>
      <c r="I8" s="39">
        <v>1636649.08</v>
      </c>
      <c r="J8" s="43">
        <v>514958.82</v>
      </c>
      <c r="K8" s="41">
        <v>40176</v>
      </c>
      <c r="L8" s="41">
        <v>40722</v>
      </c>
      <c r="M8" s="38" t="s">
        <v>35</v>
      </c>
      <c r="N8" s="42" t="s">
        <v>27</v>
      </c>
    </row>
    <row r="9" spans="1:14" s="4" customFormat="1" ht="49.5" customHeight="1">
      <c r="A9" s="35">
        <f t="shared" si="1"/>
        <v>7</v>
      </c>
      <c r="B9" s="36" t="s">
        <v>28</v>
      </c>
      <c r="C9" s="36" t="s">
        <v>29</v>
      </c>
      <c r="D9" s="36" t="s">
        <v>36</v>
      </c>
      <c r="E9" s="37">
        <v>0</v>
      </c>
      <c r="F9" s="37">
        <v>0</v>
      </c>
      <c r="G9" s="37">
        <f t="shared" si="0"/>
        <v>0</v>
      </c>
      <c r="H9" s="44" t="s">
        <v>37</v>
      </c>
      <c r="I9" s="45">
        <v>1492263.04</v>
      </c>
      <c r="J9" s="40">
        <v>517381.16</v>
      </c>
      <c r="K9" s="41">
        <v>40176</v>
      </c>
      <c r="L9" s="41">
        <v>40905</v>
      </c>
      <c r="M9" s="38" t="s">
        <v>38</v>
      </c>
      <c r="N9" s="42" t="s">
        <v>27</v>
      </c>
    </row>
    <row r="10" spans="1:14" s="4" customFormat="1" ht="49.5" customHeight="1">
      <c r="A10" s="35">
        <f t="shared" si="1"/>
        <v>8</v>
      </c>
      <c r="B10" s="36" t="s">
        <v>28</v>
      </c>
      <c r="C10" s="36" t="s">
        <v>29</v>
      </c>
      <c r="D10" s="36" t="s">
        <v>39</v>
      </c>
      <c r="E10" s="37">
        <v>0</v>
      </c>
      <c r="F10" s="37">
        <v>0</v>
      </c>
      <c r="G10" s="37">
        <f t="shared" si="0"/>
        <v>0</v>
      </c>
      <c r="H10" s="38" t="s">
        <v>40</v>
      </c>
      <c r="I10" s="39">
        <v>322420.94</v>
      </c>
      <c r="J10" s="43">
        <v>174758.54</v>
      </c>
      <c r="K10" s="41">
        <v>40176</v>
      </c>
      <c r="L10" s="46">
        <v>40540</v>
      </c>
      <c r="M10" s="38" t="s">
        <v>32</v>
      </c>
      <c r="N10" s="42" t="s">
        <v>27</v>
      </c>
    </row>
    <row r="11" spans="1:15" s="7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41</v>
      </c>
      <c r="E11" s="37">
        <v>0</v>
      </c>
      <c r="F11" s="37">
        <v>0</v>
      </c>
      <c r="G11" s="37">
        <f t="shared" si="0"/>
        <v>0</v>
      </c>
      <c r="H11" s="38" t="s">
        <v>42</v>
      </c>
      <c r="I11" s="39">
        <v>851408.61</v>
      </c>
      <c r="J11" s="43">
        <f>588308.41+263100.2</f>
        <v>851408.6100000001</v>
      </c>
      <c r="K11" s="41">
        <v>38890</v>
      </c>
      <c r="L11" s="41">
        <v>40056</v>
      </c>
      <c r="M11" s="38" t="s">
        <v>26</v>
      </c>
      <c r="N11" s="42" t="s">
        <v>27</v>
      </c>
      <c r="O11" s="4"/>
    </row>
    <row r="12" spans="1:15" s="7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43</v>
      </c>
      <c r="E12" s="37">
        <v>0</v>
      </c>
      <c r="F12" s="37">
        <v>0</v>
      </c>
      <c r="G12" s="37">
        <f t="shared" si="0"/>
        <v>0</v>
      </c>
      <c r="H12" s="38" t="s">
        <v>44</v>
      </c>
      <c r="I12" s="39">
        <v>352000</v>
      </c>
      <c r="J12" s="43">
        <v>211200</v>
      </c>
      <c r="K12" s="41">
        <v>39633</v>
      </c>
      <c r="L12" s="41">
        <v>39993</v>
      </c>
      <c r="M12" s="38" t="s">
        <v>35</v>
      </c>
      <c r="N12" s="42" t="s">
        <v>27</v>
      </c>
      <c r="O12" s="4"/>
    </row>
    <row r="13" spans="1:15" s="7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45</v>
      </c>
      <c r="E13" s="37">
        <v>0</v>
      </c>
      <c r="F13" s="37">
        <v>0</v>
      </c>
      <c r="G13" s="37">
        <f t="shared" si="0"/>
        <v>0</v>
      </c>
      <c r="H13" s="38" t="s">
        <v>46</v>
      </c>
      <c r="I13" s="39">
        <v>516646.91</v>
      </c>
      <c r="J13" s="43">
        <v>437114.41</v>
      </c>
      <c r="K13" s="41">
        <v>40536</v>
      </c>
      <c r="L13" s="41">
        <v>40900</v>
      </c>
      <c r="M13" s="38" t="s">
        <v>26</v>
      </c>
      <c r="N13" s="42" t="s">
        <v>27</v>
      </c>
      <c r="O13" s="4"/>
    </row>
    <row r="14" spans="1:15" s="7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47</v>
      </c>
      <c r="E14" s="37">
        <v>0</v>
      </c>
      <c r="F14" s="37">
        <v>0</v>
      </c>
      <c r="G14" s="37">
        <f t="shared" si="0"/>
        <v>0</v>
      </c>
      <c r="H14" s="38" t="s">
        <v>48</v>
      </c>
      <c r="I14" s="39">
        <v>100000</v>
      </c>
      <c r="J14" s="43">
        <v>100000</v>
      </c>
      <c r="K14" s="41">
        <v>40177</v>
      </c>
      <c r="L14" s="41">
        <v>40541</v>
      </c>
      <c r="M14" s="38" t="s">
        <v>32</v>
      </c>
      <c r="N14" s="42" t="s">
        <v>27</v>
      </c>
      <c r="O14" s="4"/>
    </row>
    <row r="15" spans="1:15" s="7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49</v>
      </c>
      <c r="E15" s="37">
        <v>0</v>
      </c>
      <c r="F15" s="37">
        <v>0</v>
      </c>
      <c r="G15" s="37">
        <f t="shared" si="0"/>
        <v>0</v>
      </c>
      <c r="H15" s="38" t="s">
        <v>50</v>
      </c>
      <c r="I15" s="39">
        <v>202569.34</v>
      </c>
      <c r="J15" s="43">
        <v>202569.343</v>
      </c>
      <c r="K15" s="41">
        <v>40542</v>
      </c>
      <c r="L15" s="41">
        <v>40907</v>
      </c>
      <c r="M15" s="38" t="s">
        <v>26</v>
      </c>
      <c r="N15" s="42" t="s">
        <v>27</v>
      </c>
      <c r="O15" s="4"/>
    </row>
    <row r="16" spans="1:15" s="7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51</v>
      </c>
      <c r="E16" s="37">
        <v>182038.38</v>
      </c>
      <c r="F16" s="37">
        <v>0</v>
      </c>
      <c r="G16" s="37">
        <f t="shared" si="0"/>
        <v>182038.38</v>
      </c>
      <c r="H16" s="38" t="s">
        <v>52</v>
      </c>
      <c r="I16" s="39">
        <v>3640767.5</v>
      </c>
      <c r="J16" s="43">
        <v>0</v>
      </c>
      <c r="K16" s="41">
        <v>40542</v>
      </c>
      <c r="L16" s="41">
        <v>42001</v>
      </c>
      <c r="M16" s="38" t="s">
        <v>35</v>
      </c>
      <c r="N16" s="42" t="s">
        <v>27</v>
      </c>
      <c r="O16" s="4"/>
    </row>
    <row r="17" spans="1:15" s="7" customFormat="1" ht="49.5" customHeight="1">
      <c r="A17" s="35">
        <f t="shared" si="1"/>
        <v>15</v>
      </c>
      <c r="B17" s="36" t="s">
        <v>53</v>
      </c>
      <c r="C17" s="36" t="s">
        <v>29</v>
      </c>
      <c r="D17" s="36" t="s">
        <v>54</v>
      </c>
      <c r="E17" s="37">
        <v>771437.88</v>
      </c>
      <c r="F17" s="37">
        <v>0</v>
      </c>
      <c r="G17" s="37">
        <f t="shared" si="0"/>
        <v>771437.88</v>
      </c>
      <c r="H17" s="38" t="s">
        <v>55</v>
      </c>
      <c r="I17" s="39">
        <v>771437.88</v>
      </c>
      <c r="J17" s="43">
        <v>0</v>
      </c>
      <c r="K17" s="41">
        <v>40886</v>
      </c>
      <c r="L17" s="41">
        <v>41617</v>
      </c>
      <c r="M17" s="38" t="s">
        <v>35</v>
      </c>
      <c r="N17" s="42" t="s">
        <v>27</v>
      </c>
      <c r="O17" s="4"/>
    </row>
    <row r="18" spans="1:15" s="7" customFormat="1" ht="49.5" customHeight="1">
      <c r="A18" s="35">
        <f t="shared" si="1"/>
        <v>16</v>
      </c>
      <c r="B18" s="36" t="s">
        <v>53</v>
      </c>
      <c r="C18" s="36" t="s">
        <v>29</v>
      </c>
      <c r="D18" s="36" t="s">
        <v>56</v>
      </c>
      <c r="E18" s="37">
        <v>90000</v>
      </c>
      <c r="F18" s="37">
        <v>0</v>
      </c>
      <c r="G18" s="37">
        <f t="shared" si="0"/>
        <v>90000</v>
      </c>
      <c r="H18" s="38" t="s">
        <v>57</v>
      </c>
      <c r="I18" s="39">
        <v>3944386.94</v>
      </c>
      <c r="J18" s="43">
        <v>0</v>
      </c>
      <c r="K18" s="41">
        <v>40904</v>
      </c>
      <c r="L18" s="41">
        <v>42000</v>
      </c>
      <c r="M18" s="38" t="s">
        <v>35</v>
      </c>
      <c r="N18" s="42" t="s">
        <v>27</v>
      </c>
      <c r="O18" s="4"/>
    </row>
    <row r="19" spans="1:15" s="7" customFormat="1" ht="49.5" customHeight="1">
      <c r="A19" s="35">
        <f t="shared" si="1"/>
        <v>17</v>
      </c>
      <c r="B19" s="36" t="s">
        <v>28</v>
      </c>
      <c r="C19" s="36" t="s">
        <v>58</v>
      </c>
      <c r="D19" s="36" t="s">
        <v>59</v>
      </c>
      <c r="E19" s="37">
        <v>0</v>
      </c>
      <c r="F19" s="37">
        <v>0</v>
      </c>
      <c r="G19" s="37">
        <f t="shared" si="0"/>
        <v>0</v>
      </c>
      <c r="H19" s="38" t="s">
        <v>60</v>
      </c>
      <c r="I19" s="39">
        <v>250000</v>
      </c>
      <c r="J19" s="43">
        <v>250000</v>
      </c>
      <c r="K19" s="41">
        <v>40155</v>
      </c>
      <c r="L19" s="46">
        <v>40519</v>
      </c>
      <c r="M19" s="38" t="s">
        <v>26</v>
      </c>
      <c r="N19" s="42" t="s">
        <v>27</v>
      </c>
      <c r="O19" s="4"/>
    </row>
    <row r="20" spans="1:15" s="7" customFormat="1" ht="49.5" customHeight="1">
      <c r="A20" s="35">
        <f t="shared" si="1"/>
        <v>18</v>
      </c>
      <c r="B20" s="36" t="s">
        <v>28</v>
      </c>
      <c r="C20" s="36" t="s">
        <v>58</v>
      </c>
      <c r="D20" s="36" t="s">
        <v>61</v>
      </c>
      <c r="E20" s="37">
        <v>0</v>
      </c>
      <c r="F20" s="37">
        <v>0</v>
      </c>
      <c r="G20" s="37">
        <f t="shared" si="0"/>
        <v>0</v>
      </c>
      <c r="H20" s="44" t="s">
        <v>62</v>
      </c>
      <c r="I20" s="45">
        <v>700000</v>
      </c>
      <c r="J20" s="40">
        <v>486857</v>
      </c>
      <c r="K20" s="41">
        <v>40532</v>
      </c>
      <c r="L20" s="41">
        <v>40711</v>
      </c>
      <c r="M20" s="38" t="s">
        <v>26</v>
      </c>
      <c r="N20" s="42" t="s">
        <v>27</v>
      </c>
      <c r="O20" s="4"/>
    </row>
    <row r="21" spans="1:15" s="7" customFormat="1" ht="49.5" customHeight="1">
      <c r="A21" s="35">
        <f t="shared" si="1"/>
        <v>19</v>
      </c>
      <c r="B21" s="36" t="s">
        <v>63</v>
      </c>
      <c r="C21" s="36" t="s">
        <v>64</v>
      </c>
      <c r="D21" s="36" t="s">
        <v>65</v>
      </c>
      <c r="E21" s="37">
        <v>0</v>
      </c>
      <c r="F21" s="37">
        <v>0</v>
      </c>
      <c r="G21" s="37">
        <f t="shared" si="0"/>
        <v>0</v>
      </c>
      <c r="H21" s="38" t="s">
        <v>66</v>
      </c>
      <c r="I21" s="39">
        <v>47533.89</v>
      </c>
      <c r="J21" s="43">
        <v>47533.89</v>
      </c>
      <c r="K21" s="41">
        <v>39814</v>
      </c>
      <c r="L21" s="41" t="s">
        <v>67</v>
      </c>
      <c r="M21" s="38" t="s">
        <v>26</v>
      </c>
      <c r="N21" s="42" t="s">
        <v>68</v>
      </c>
      <c r="O21" s="4"/>
    </row>
    <row r="22" spans="1:15" s="7" customFormat="1" ht="49.5" customHeight="1">
      <c r="A22" s="35">
        <f t="shared" si="1"/>
        <v>20</v>
      </c>
      <c r="B22" s="36" t="s">
        <v>63</v>
      </c>
      <c r="C22" s="36" t="s">
        <v>64</v>
      </c>
      <c r="D22" s="36" t="s">
        <v>69</v>
      </c>
      <c r="E22" s="37">
        <v>0</v>
      </c>
      <c r="F22" s="37">
        <v>0</v>
      </c>
      <c r="G22" s="37">
        <f t="shared" si="0"/>
        <v>0</v>
      </c>
      <c r="H22" s="38" t="s">
        <v>66</v>
      </c>
      <c r="I22" s="39">
        <f>2880+6720</f>
        <v>9600</v>
      </c>
      <c r="J22" s="43">
        <f>7600+2000</f>
        <v>9600</v>
      </c>
      <c r="K22" s="41">
        <v>40303</v>
      </c>
      <c r="L22" s="41" t="s">
        <v>67</v>
      </c>
      <c r="M22" s="38" t="s">
        <v>26</v>
      </c>
      <c r="N22" s="42" t="s">
        <v>68</v>
      </c>
      <c r="O22" s="4"/>
    </row>
    <row r="23" spans="1:15" s="7" customFormat="1" ht="49.5" customHeight="1">
      <c r="A23" s="35">
        <f t="shared" si="1"/>
        <v>21</v>
      </c>
      <c r="B23" s="36" t="s">
        <v>63</v>
      </c>
      <c r="C23" s="36" t="s">
        <v>70</v>
      </c>
      <c r="D23" s="36" t="s">
        <v>71</v>
      </c>
      <c r="E23" s="37">
        <v>0</v>
      </c>
      <c r="F23" s="37">
        <v>0</v>
      </c>
      <c r="G23" s="37">
        <f t="shared" si="0"/>
        <v>0</v>
      </c>
      <c r="H23" s="38" t="s">
        <v>72</v>
      </c>
      <c r="I23" s="39">
        <v>70000</v>
      </c>
      <c r="J23" s="43">
        <v>70000</v>
      </c>
      <c r="K23" s="41">
        <v>40540</v>
      </c>
      <c r="L23" s="41">
        <v>40724</v>
      </c>
      <c r="M23" s="38" t="s">
        <v>26</v>
      </c>
      <c r="N23" s="42" t="s">
        <v>68</v>
      </c>
      <c r="O23" s="4"/>
    </row>
    <row r="24" spans="1:15" s="7" customFormat="1" ht="49.5" customHeight="1">
      <c r="A24" s="35">
        <f t="shared" si="1"/>
        <v>22</v>
      </c>
      <c r="B24" s="36" t="s">
        <v>63</v>
      </c>
      <c r="C24" s="36" t="s">
        <v>70</v>
      </c>
      <c r="D24" s="36" t="s">
        <v>73</v>
      </c>
      <c r="E24" s="37">
        <v>0</v>
      </c>
      <c r="F24" s="37">
        <v>0</v>
      </c>
      <c r="G24" s="37">
        <f t="shared" si="0"/>
        <v>0</v>
      </c>
      <c r="H24" s="38" t="s">
        <v>74</v>
      </c>
      <c r="I24" s="39">
        <v>60000</v>
      </c>
      <c r="J24" s="43">
        <v>60000</v>
      </c>
      <c r="K24" s="41">
        <v>40540</v>
      </c>
      <c r="L24" s="41">
        <v>40724</v>
      </c>
      <c r="M24" s="38" t="s">
        <v>26</v>
      </c>
      <c r="N24" s="42" t="s">
        <v>68</v>
      </c>
      <c r="O24" s="4"/>
    </row>
    <row r="25" spans="1:15" s="7" customFormat="1" ht="49.5" customHeight="1">
      <c r="A25" s="35">
        <f t="shared" si="1"/>
        <v>23</v>
      </c>
      <c r="B25" s="36" t="s">
        <v>63</v>
      </c>
      <c r="C25" s="36" t="s">
        <v>75</v>
      </c>
      <c r="D25" s="36" t="s">
        <v>76</v>
      </c>
      <c r="E25" s="37">
        <v>0</v>
      </c>
      <c r="F25" s="37">
        <v>0</v>
      </c>
      <c r="G25" s="37">
        <f t="shared" si="0"/>
        <v>0</v>
      </c>
      <c r="H25" s="38" t="s">
        <v>77</v>
      </c>
      <c r="I25" s="39">
        <v>630000</v>
      </c>
      <c r="J25" s="43">
        <v>630000</v>
      </c>
      <c r="K25" s="41">
        <v>40599</v>
      </c>
      <c r="L25" s="41">
        <v>40908</v>
      </c>
      <c r="M25" s="38" t="s">
        <v>26</v>
      </c>
      <c r="N25" s="42" t="s">
        <v>68</v>
      </c>
      <c r="O25" s="4"/>
    </row>
    <row r="26" spans="1:15" s="7" customFormat="1" ht="49.5" customHeight="1">
      <c r="A26" s="35">
        <f t="shared" si="1"/>
        <v>24</v>
      </c>
      <c r="B26" s="36" t="s">
        <v>63</v>
      </c>
      <c r="C26" s="36" t="s">
        <v>75</v>
      </c>
      <c r="D26" s="36" t="s">
        <v>78</v>
      </c>
      <c r="E26" s="37">
        <v>105000</v>
      </c>
      <c r="F26" s="37">
        <v>0</v>
      </c>
      <c r="G26" s="37">
        <f t="shared" si="0"/>
        <v>105000</v>
      </c>
      <c r="H26" s="38" t="s">
        <v>79</v>
      </c>
      <c r="I26" s="39">
        <v>630000</v>
      </c>
      <c r="J26" s="43">
        <v>525000</v>
      </c>
      <c r="K26" s="41">
        <v>40751</v>
      </c>
      <c r="L26" s="41">
        <v>40908</v>
      </c>
      <c r="M26" s="38" t="s">
        <v>26</v>
      </c>
      <c r="N26" s="42" t="s">
        <v>68</v>
      </c>
      <c r="O26" s="4"/>
    </row>
    <row r="27" spans="1:15" s="7" customFormat="1" ht="49.5" customHeight="1">
      <c r="A27" s="35">
        <f t="shared" si="1"/>
        <v>25</v>
      </c>
      <c r="B27" s="36" t="s">
        <v>80</v>
      </c>
      <c r="C27" s="36" t="s">
        <v>81</v>
      </c>
      <c r="D27" s="36" t="s">
        <v>82</v>
      </c>
      <c r="E27" s="37">
        <v>0</v>
      </c>
      <c r="F27" s="37">
        <v>0</v>
      </c>
      <c r="G27" s="37">
        <f t="shared" si="0"/>
        <v>0</v>
      </c>
      <c r="H27" s="38" t="s">
        <v>83</v>
      </c>
      <c r="I27" s="39">
        <v>126000</v>
      </c>
      <c r="J27" s="43">
        <f>66036+47363</f>
        <v>113399</v>
      </c>
      <c r="K27" s="41">
        <v>39071</v>
      </c>
      <c r="L27" s="41" t="s">
        <v>84</v>
      </c>
      <c r="M27" s="38" t="s">
        <v>26</v>
      </c>
      <c r="N27" s="42" t="s">
        <v>27</v>
      </c>
      <c r="O27" s="4"/>
    </row>
    <row r="28" spans="1:15" s="7" customFormat="1" ht="49.5" customHeight="1">
      <c r="A28" s="35">
        <f t="shared" si="1"/>
        <v>26</v>
      </c>
      <c r="B28" s="36" t="s">
        <v>85</v>
      </c>
      <c r="C28" s="36" t="s">
        <v>86</v>
      </c>
      <c r="D28" s="36" t="s">
        <v>87</v>
      </c>
      <c r="E28" s="37">
        <v>0</v>
      </c>
      <c r="F28" s="37">
        <v>0</v>
      </c>
      <c r="G28" s="37">
        <f t="shared" si="0"/>
        <v>0</v>
      </c>
      <c r="H28" s="44" t="s">
        <v>88</v>
      </c>
      <c r="I28" s="45">
        <v>85000</v>
      </c>
      <c r="J28" s="40">
        <v>0</v>
      </c>
      <c r="K28" s="41">
        <v>38611</v>
      </c>
      <c r="L28" s="41" t="s">
        <v>67</v>
      </c>
      <c r="M28" s="46" t="s">
        <v>26</v>
      </c>
      <c r="N28" s="42" t="s">
        <v>27</v>
      </c>
      <c r="O28" s="4"/>
    </row>
    <row r="29" spans="1:15" s="7" customFormat="1" ht="49.5" customHeight="1">
      <c r="A29" s="35">
        <f t="shared" si="1"/>
        <v>27</v>
      </c>
      <c r="B29" s="36" t="s">
        <v>89</v>
      </c>
      <c r="C29" s="36" t="s">
        <v>90</v>
      </c>
      <c r="D29" s="36" t="s">
        <v>91</v>
      </c>
      <c r="E29" s="39">
        <v>0</v>
      </c>
      <c r="F29" s="37">
        <v>0</v>
      </c>
      <c r="G29" s="37">
        <f t="shared" si="0"/>
        <v>0</v>
      </c>
      <c r="H29" s="44" t="s">
        <v>92</v>
      </c>
      <c r="I29" s="45">
        <v>292500</v>
      </c>
      <c r="J29" s="40">
        <v>292500</v>
      </c>
      <c r="K29" s="41">
        <v>40350</v>
      </c>
      <c r="L29" s="41">
        <v>40775</v>
      </c>
      <c r="M29" s="46" t="s">
        <v>26</v>
      </c>
      <c r="N29" s="42" t="s">
        <v>27</v>
      </c>
      <c r="O29" s="4"/>
    </row>
    <row r="30" spans="1:14" s="4" customFormat="1" ht="49.5" customHeight="1">
      <c r="A30" s="35">
        <f t="shared" si="1"/>
        <v>28</v>
      </c>
      <c r="B30" s="36" t="s">
        <v>93</v>
      </c>
      <c r="C30" s="36" t="s">
        <v>94</v>
      </c>
      <c r="D30" s="36" t="s">
        <v>95</v>
      </c>
      <c r="E30" s="37">
        <v>0</v>
      </c>
      <c r="F30" s="37">
        <v>0</v>
      </c>
      <c r="G30" s="37">
        <f t="shared" si="0"/>
        <v>0</v>
      </c>
      <c r="H30" s="38" t="s">
        <v>96</v>
      </c>
      <c r="I30" s="39">
        <v>1803960</v>
      </c>
      <c r="J30" s="43">
        <v>0</v>
      </c>
      <c r="K30" s="41">
        <v>40544</v>
      </c>
      <c r="L30" s="41">
        <v>40908</v>
      </c>
      <c r="M30" s="46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93</v>
      </c>
      <c r="C31" s="36" t="s">
        <v>97</v>
      </c>
      <c r="D31" s="36" t="s">
        <v>97</v>
      </c>
      <c r="E31" s="37">
        <v>0</v>
      </c>
      <c r="F31" s="37">
        <v>0</v>
      </c>
      <c r="G31" s="37">
        <f t="shared" si="0"/>
        <v>0</v>
      </c>
      <c r="H31" s="38" t="s">
        <v>98</v>
      </c>
      <c r="I31" s="39">
        <v>232427</v>
      </c>
      <c r="J31" s="43">
        <v>0</v>
      </c>
      <c r="K31" s="41">
        <v>40544</v>
      </c>
      <c r="L31" s="41">
        <v>40908</v>
      </c>
      <c r="M31" s="46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93</v>
      </c>
      <c r="C32" s="36" t="s">
        <v>99</v>
      </c>
      <c r="D32" s="36" t="s">
        <v>100</v>
      </c>
      <c r="E32" s="37">
        <v>0</v>
      </c>
      <c r="F32" s="37">
        <v>0</v>
      </c>
      <c r="G32" s="37">
        <f t="shared" si="0"/>
        <v>0</v>
      </c>
      <c r="H32" s="38" t="s">
        <v>101</v>
      </c>
      <c r="I32" s="39">
        <v>12756.3</v>
      </c>
      <c r="J32" s="43">
        <v>12756.3</v>
      </c>
      <c r="K32" s="41">
        <v>40544</v>
      </c>
      <c r="L32" s="41">
        <v>40908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93</v>
      </c>
      <c r="C33" s="36" t="s">
        <v>102</v>
      </c>
      <c r="D33" s="36" t="s">
        <v>103</v>
      </c>
      <c r="E33" s="37">
        <v>8077.13</v>
      </c>
      <c r="F33" s="37">
        <v>0</v>
      </c>
      <c r="G33" s="37">
        <f t="shared" si="0"/>
        <v>8077.13</v>
      </c>
      <c r="H33" s="38" t="s">
        <v>104</v>
      </c>
      <c r="I33" s="39">
        <v>10750</v>
      </c>
      <c r="J33" s="43">
        <v>0</v>
      </c>
      <c r="K33" s="41">
        <v>40070</v>
      </c>
      <c r="L33" s="41" t="s">
        <v>67</v>
      </c>
      <c r="M33" s="38" t="s">
        <v>26</v>
      </c>
      <c r="N33" s="42" t="s">
        <v>27</v>
      </c>
    </row>
    <row r="34" spans="1:14" s="4" customFormat="1" ht="49.5" customHeight="1">
      <c r="A34" s="35">
        <f t="shared" si="1"/>
        <v>32</v>
      </c>
      <c r="B34" s="36" t="s">
        <v>93</v>
      </c>
      <c r="C34" s="36" t="s">
        <v>105</v>
      </c>
      <c r="D34" s="36" t="s">
        <v>106</v>
      </c>
      <c r="E34" s="47">
        <v>0</v>
      </c>
      <c r="F34" s="37">
        <v>0</v>
      </c>
      <c r="G34" s="37">
        <f t="shared" si="0"/>
        <v>0</v>
      </c>
      <c r="H34" s="38" t="s">
        <v>107</v>
      </c>
      <c r="I34" s="39">
        <v>1276275.58</v>
      </c>
      <c r="J34" s="43">
        <v>255255.12</v>
      </c>
      <c r="K34" s="41">
        <v>40725</v>
      </c>
      <c r="L34" s="41">
        <v>41274</v>
      </c>
      <c r="M34" s="38" t="s">
        <v>26</v>
      </c>
      <c r="N34" s="42" t="s">
        <v>27</v>
      </c>
    </row>
    <row r="35" spans="1:14" s="4" customFormat="1" ht="49.5" customHeight="1">
      <c r="A35" s="35">
        <f t="shared" si="1"/>
        <v>33</v>
      </c>
      <c r="B35" s="36" t="s">
        <v>93</v>
      </c>
      <c r="C35" s="36" t="s">
        <v>105</v>
      </c>
      <c r="D35" s="36" t="s">
        <v>108</v>
      </c>
      <c r="E35" s="47">
        <v>0</v>
      </c>
      <c r="F35" s="37">
        <v>0</v>
      </c>
      <c r="G35" s="37">
        <f aca="true" t="shared" si="2" ref="G35:G66">E35+F35</f>
        <v>0</v>
      </c>
      <c r="H35" s="38" t="s">
        <v>109</v>
      </c>
      <c r="I35" s="39">
        <v>1316838.4</v>
      </c>
      <c r="J35" s="43">
        <v>263367.68</v>
      </c>
      <c r="K35" s="41">
        <v>40544</v>
      </c>
      <c r="L35" s="41">
        <v>41274</v>
      </c>
      <c r="M35" s="38" t="s">
        <v>26</v>
      </c>
      <c r="N35" s="42" t="s">
        <v>27</v>
      </c>
    </row>
    <row r="36" spans="1:14" s="4" customFormat="1" ht="49.5" customHeight="1">
      <c r="A36" s="35">
        <f aca="true" t="shared" si="3" ref="A36:A67">A35+1</f>
        <v>34</v>
      </c>
      <c r="B36" s="36" t="s">
        <v>93</v>
      </c>
      <c r="C36" s="36" t="s">
        <v>110</v>
      </c>
      <c r="D36" s="36" t="s">
        <v>111</v>
      </c>
      <c r="E36" s="47">
        <v>214740</v>
      </c>
      <c r="F36" s="37">
        <v>0</v>
      </c>
      <c r="G36" s="37">
        <f t="shared" si="2"/>
        <v>214740</v>
      </c>
      <c r="H36" s="38" t="s">
        <v>112</v>
      </c>
      <c r="I36" s="39">
        <v>644220</v>
      </c>
      <c r="J36" s="43">
        <v>0</v>
      </c>
      <c r="K36" s="41">
        <v>40909</v>
      </c>
      <c r="L36" s="41">
        <v>41639</v>
      </c>
      <c r="M36" s="38" t="s">
        <v>113</v>
      </c>
      <c r="N36" s="42" t="s">
        <v>27</v>
      </c>
    </row>
    <row r="37" spans="1:14" s="4" customFormat="1" ht="49.5" customHeight="1">
      <c r="A37" s="35">
        <f t="shared" si="3"/>
        <v>35</v>
      </c>
      <c r="B37" s="36" t="s">
        <v>114</v>
      </c>
      <c r="C37" s="36" t="s">
        <v>115</v>
      </c>
      <c r="D37" s="36" t="s">
        <v>116</v>
      </c>
      <c r="E37" s="37">
        <v>0</v>
      </c>
      <c r="F37" s="37">
        <v>0</v>
      </c>
      <c r="G37" s="37">
        <f t="shared" si="2"/>
        <v>0</v>
      </c>
      <c r="H37" s="38" t="s">
        <v>117</v>
      </c>
      <c r="I37" s="39">
        <v>120000</v>
      </c>
      <c r="J37" s="43">
        <v>120000</v>
      </c>
      <c r="K37" s="41">
        <v>39626</v>
      </c>
      <c r="L37" s="41">
        <v>40629</v>
      </c>
      <c r="M37" s="46" t="s">
        <v>26</v>
      </c>
      <c r="N37" s="42" t="s">
        <v>27</v>
      </c>
    </row>
    <row r="38" spans="1:14" s="4" customFormat="1" ht="49.5" customHeight="1">
      <c r="A38" s="35">
        <f t="shared" si="3"/>
        <v>36</v>
      </c>
      <c r="B38" s="36" t="s">
        <v>118</v>
      </c>
      <c r="C38" s="36" t="s">
        <v>10</v>
      </c>
      <c r="D38" s="36" t="s">
        <v>119</v>
      </c>
      <c r="E38" s="37">
        <v>27319.22</v>
      </c>
      <c r="F38" s="37">
        <v>0</v>
      </c>
      <c r="G38" s="37">
        <f t="shared" si="2"/>
        <v>27319.22</v>
      </c>
      <c r="H38" s="38" t="s">
        <v>120</v>
      </c>
      <c r="I38" s="39">
        <v>50000</v>
      </c>
      <c r="J38" s="43">
        <v>27218.1</v>
      </c>
      <c r="K38" s="41">
        <v>40179</v>
      </c>
      <c r="L38" s="41" t="s">
        <v>67</v>
      </c>
      <c r="M38" s="38" t="s">
        <v>121</v>
      </c>
      <c r="N38" s="42" t="s">
        <v>27</v>
      </c>
    </row>
    <row r="39" spans="1:14" s="4" customFormat="1" ht="49.5" customHeight="1">
      <c r="A39" s="35">
        <f t="shared" si="3"/>
        <v>37</v>
      </c>
      <c r="B39" s="36" t="s">
        <v>118</v>
      </c>
      <c r="C39" s="36" t="s">
        <v>10</v>
      </c>
      <c r="D39" s="36" t="s">
        <v>122</v>
      </c>
      <c r="E39" s="37">
        <v>0</v>
      </c>
      <c r="F39" s="37">
        <v>0</v>
      </c>
      <c r="G39" s="37">
        <f t="shared" si="2"/>
        <v>0</v>
      </c>
      <c r="H39" s="38" t="s">
        <v>123</v>
      </c>
      <c r="I39" s="39">
        <v>2950</v>
      </c>
      <c r="J39" s="43">
        <v>2950</v>
      </c>
      <c r="K39" s="41">
        <v>40118</v>
      </c>
      <c r="L39" s="41" t="s">
        <v>67</v>
      </c>
      <c r="M39" s="38" t="s">
        <v>26</v>
      </c>
      <c r="N39" s="42" t="s">
        <v>27</v>
      </c>
    </row>
    <row r="40" spans="1:14" s="4" customFormat="1" ht="49.5" customHeight="1">
      <c r="A40" s="35">
        <f t="shared" si="3"/>
        <v>38</v>
      </c>
      <c r="B40" s="36" t="s">
        <v>118</v>
      </c>
      <c r="C40" s="36" t="s">
        <v>10</v>
      </c>
      <c r="D40" s="36" t="s">
        <v>124</v>
      </c>
      <c r="E40" s="37">
        <v>0</v>
      </c>
      <c r="F40" s="37">
        <v>0</v>
      </c>
      <c r="G40" s="37">
        <f t="shared" si="2"/>
        <v>0</v>
      </c>
      <c r="H40" s="38" t="s">
        <v>123</v>
      </c>
      <c r="I40" s="39">
        <v>900</v>
      </c>
      <c r="J40" s="43">
        <v>925</v>
      </c>
      <c r="K40" s="41">
        <v>40179</v>
      </c>
      <c r="L40" s="41" t="s">
        <v>67</v>
      </c>
      <c r="M40" s="38" t="s">
        <v>26</v>
      </c>
      <c r="N40" s="42" t="s">
        <v>27</v>
      </c>
    </row>
    <row r="41" spans="1:14" s="4" customFormat="1" ht="49.5" customHeight="1">
      <c r="A41" s="35">
        <f t="shared" si="3"/>
        <v>39</v>
      </c>
      <c r="B41" s="36" t="s">
        <v>118</v>
      </c>
      <c r="C41" s="36" t="s">
        <v>10</v>
      </c>
      <c r="D41" s="36" t="s">
        <v>125</v>
      </c>
      <c r="E41" s="37">
        <v>9000</v>
      </c>
      <c r="F41" s="37">
        <v>0</v>
      </c>
      <c r="G41" s="37">
        <f t="shared" si="2"/>
        <v>9000</v>
      </c>
      <c r="H41" s="38" t="s">
        <v>126</v>
      </c>
      <c r="I41" s="39">
        <v>108000</v>
      </c>
      <c r="J41" s="43">
        <v>99000</v>
      </c>
      <c r="K41" s="41">
        <v>40544</v>
      </c>
      <c r="L41" s="41" t="s">
        <v>67</v>
      </c>
      <c r="M41" s="38" t="s">
        <v>26</v>
      </c>
      <c r="N41" s="42" t="s">
        <v>27</v>
      </c>
    </row>
    <row r="42" spans="1:14" s="4" customFormat="1" ht="49.5" customHeight="1">
      <c r="A42" s="35">
        <f t="shared" si="3"/>
        <v>40</v>
      </c>
      <c r="B42" s="36" t="s">
        <v>118</v>
      </c>
      <c r="C42" s="36" t="s">
        <v>10</v>
      </c>
      <c r="D42" s="36" t="s">
        <v>127</v>
      </c>
      <c r="E42" s="37">
        <v>0</v>
      </c>
      <c r="F42" s="37">
        <v>0</v>
      </c>
      <c r="G42" s="37">
        <f t="shared" si="2"/>
        <v>0</v>
      </c>
      <c r="H42" s="38" t="s">
        <v>128</v>
      </c>
      <c r="I42" s="39">
        <v>6000</v>
      </c>
      <c r="J42" s="43">
        <v>6000</v>
      </c>
      <c r="K42" s="41">
        <v>39814</v>
      </c>
      <c r="L42" s="41" t="s">
        <v>67</v>
      </c>
      <c r="M42" s="38" t="s">
        <v>26</v>
      </c>
      <c r="N42" s="42" t="s">
        <v>27</v>
      </c>
    </row>
    <row r="43" spans="1:14" s="4" customFormat="1" ht="49.5" customHeight="1">
      <c r="A43" s="35">
        <f t="shared" si="3"/>
        <v>41</v>
      </c>
      <c r="B43" s="36" t="s">
        <v>118</v>
      </c>
      <c r="C43" s="36" t="s">
        <v>10</v>
      </c>
      <c r="D43" s="36" t="s">
        <v>129</v>
      </c>
      <c r="E43" s="37">
        <v>0</v>
      </c>
      <c r="F43" s="37">
        <v>0</v>
      </c>
      <c r="G43" s="37">
        <f t="shared" si="2"/>
        <v>0</v>
      </c>
      <c r="H43" s="38" t="s">
        <v>130</v>
      </c>
      <c r="I43" s="39">
        <v>60300</v>
      </c>
      <c r="J43" s="43">
        <v>50561.25</v>
      </c>
      <c r="K43" s="41" t="s">
        <v>131</v>
      </c>
      <c r="L43" s="41" t="s">
        <v>67</v>
      </c>
      <c r="M43" s="38" t="s">
        <v>26</v>
      </c>
      <c r="N43" s="42" t="s">
        <v>27</v>
      </c>
    </row>
    <row r="44" spans="1:14" s="4" customFormat="1" ht="49.5" customHeight="1">
      <c r="A44" s="35">
        <f t="shared" si="3"/>
        <v>42</v>
      </c>
      <c r="B44" s="36" t="s">
        <v>118</v>
      </c>
      <c r="C44" s="36" t="s">
        <v>10</v>
      </c>
      <c r="D44" s="36" t="s">
        <v>132</v>
      </c>
      <c r="E44" s="37">
        <v>1000</v>
      </c>
      <c r="F44" s="37">
        <v>0</v>
      </c>
      <c r="G44" s="37">
        <f t="shared" si="2"/>
        <v>1000</v>
      </c>
      <c r="H44" s="38" t="s">
        <v>133</v>
      </c>
      <c r="I44" s="39">
        <v>12000</v>
      </c>
      <c r="J44" s="43">
        <v>11000</v>
      </c>
      <c r="K44" s="41">
        <v>40544</v>
      </c>
      <c r="L44" s="41" t="s">
        <v>67</v>
      </c>
      <c r="M44" s="38" t="s">
        <v>26</v>
      </c>
      <c r="N44" s="42" t="s">
        <v>27</v>
      </c>
    </row>
    <row r="45" spans="1:14" s="4" customFormat="1" ht="49.5" customHeight="1">
      <c r="A45" s="35">
        <f t="shared" si="3"/>
        <v>43</v>
      </c>
      <c r="B45" s="36" t="s">
        <v>118</v>
      </c>
      <c r="C45" s="36" t="s">
        <v>15</v>
      </c>
      <c r="D45" s="36" t="s">
        <v>134</v>
      </c>
      <c r="E45" s="37">
        <v>0</v>
      </c>
      <c r="F45" s="37">
        <v>0</v>
      </c>
      <c r="G45" s="37">
        <f t="shared" si="2"/>
        <v>0</v>
      </c>
      <c r="H45" s="38" t="s">
        <v>135</v>
      </c>
      <c r="I45" s="39">
        <v>108000</v>
      </c>
      <c r="J45" s="43"/>
      <c r="K45" s="41">
        <v>40909</v>
      </c>
      <c r="L45" s="41" t="s">
        <v>67</v>
      </c>
      <c r="M45" s="38" t="s">
        <v>26</v>
      </c>
      <c r="N45" s="42" t="s">
        <v>27</v>
      </c>
    </row>
    <row r="46" spans="1:14" s="4" customFormat="1" ht="49.5" customHeight="1">
      <c r="A46" s="35">
        <f t="shared" si="3"/>
        <v>44</v>
      </c>
      <c r="B46" s="36" t="s">
        <v>118</v>
      </c>
      <c r="C46" s="36" t="s">
        <v>15</v>
      </c>
      <c r="D46" s="36" t="s">
        <v>136</v>
      </c>
      <c r="E46" s="37">
        <v>10300</v>
      </c>
      <c r="F46" s="37">
        <v>0</v>
      </c>
      <c r="G46" s="37">
        <f t="shared" si="2"/>
        <v>10300</v>
      </c>
      <c r="H46" s="38" t="s">
        <v>137</v>
      </c>
      <c r="I46" s="39">
        <f>10300*12</f>
        <v>123600</v>
      </c>
      <c r="J46" s="43">
        <v>113300</v>
      </c>
      <c r="K46" s="41">
        <v>40544</v>
      </c>
      <c r="L46" s="41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3"/>
        <v>45</v>
      </c>
      <c r="B47" s="36" t="s">
        <v>118</v>
      </c>
      <c r="C47" s="36" t="s">
        <v>15</v>
      </c>
      <c r="D47" s="36" t="s">
        <v>138</v>
      </c>
      <c r="E47" s="37">
        <v>2200</v>
      </c>
      <c r="F47" s="37">
        <v>0</v>
      </c>
      <c r="G47" s="37">
        <f t="shared" si="2"/>
        <v>2200</v>
      </c>
      <c r="H47" s="38" t="s">
        <v>139</v>
      </c>
      <c r="I47" s="39">
        <v>26400</v>
      </c>
      <c r="J47" s="43">
        <f>11*2200</f>
        <v>24200</v>
      </c>
      <c r="K47" s="41">
        <v>40544</v>
      </c>
      <c r="L47" s="41" t="s">
        <v>67</v>
      </c>
      <c r="M47" s="38" t="s">
        <v>26</v>
      </c>
      <c r="N47" s="42" t="s">
        <v>27</v>
      </c>
    </row>
    <row r="48" spans="1:14" s="4" customFormat="1" ht="49.5" customHeight="1">
      <c r="A48" s="35">
        <f t="shared" si="3"/>
        <v>46</v>
      </c>
      <c r="B48" s="36" t="s">
        <v>118</v>
      </c>
      <c r="C48" s="36" t="s">
        <v>15</v>
      </c>
      <c r="D48" s="36" t="s">
        <v>140</v>
      </c>
      <c r="E48" s="37">
        <v>2835</v>
      </c>
      <c r="F48" s="37">
        <v>0</v>
      </c>
      <c r="G48" s="37">
        <f t="shared" si="2"/>
        <v>2835</v>
      </c>
      <c r="H48" s="38" t="s">
        <v>141</v>
      </c>
      <c r="I48" s="39">
        <v>34020</v>
      </c>
      <c r="J48" s="43">
        <v>31185</v>
      </c>
      <c r="K48" s="41">
        <v>40544</v>
      </c>
      <c r="L48" s="41" t="s">
        <v>67</v>
      </c>
      <c r="M48" s="38" t="s">
        <v>26</v>
      </c>
      <c r="N48" s="42" t="s">
        <v>27</v>
      </c>
    </row>
    <row r="49" spans="1:14" s="4" customFormat="1" ht="49.5" customHeight="1">
      <c r="A49" s="35">
        <f t="shared" si="3"/>
        <v>47</v>
      </c>
      <c r="B49" s="36" t="s">
        <v>118</v>
      </c>
      <c r="C49" s="36" t="s">
        <v>15</v>
      </c>
      <c r="D49" s="36" t="s">
        <v>142</v>
      </c>
      <c r="E49" s="37">
        <v>0</v>
      </c>
      <c r="F49" s="37">
        <v>0</v>
      </c>
      <c r="G49" s="37">
        <f t="shared" si="2"/>
        <v>0</v>
      </c>
      <c r="H49" s="38" t="s">
        <v>143</v>
      </c>
      <c r="I49" s="39">
        <v>12000</v>
      </c>
      <c r="J49" s="43">
        <v>1000</v>
      </c>
      <c r="K49" s="41">
        <v>40544</v>
      </c>
      <c r="L49" s="41" t="s">
        <v>67</v>
      </c>
      <c r="M49" s="38" t="s">
        <v>26</v>
      </c>
      <c r="N49" s="42" t="s">
        <v>27</v>
      </c>
    </row>
    <row r="50" spans="1:14" s="4" customFormat="1" ht="49.5" customHeight="1">
      <c r="A50" s="35">
        <f t="shared" si="3"/>
        <v>48</v>
      </c>
      <c r="B50" s="36" t="s">
        <v>118</v>
      </c>
      <c r="C50" s="36" t="s">
        <v>10</v>
      </c>
      <c r="D50" s="36" t="s">
        <v>144</v>
      </c>
      <c r="E50" s="37">
        <v>1903.88</v>
      </c>
      <c r="F50" s="37">
        <v>0</v>
      </c>
      <c r="G50" s="37">
        <f t="shared" si="2"/>
        <v>1903.88</v>
      </c>
      <c r="H50" s="38" t="s">
        <v>145</v>
      </c>
      <c r="I50" s="39">
        <v>11450</v>
      </c>
      <c r="J50" s="43">
        <v>0</v>
      </c>
      <c r="K50" s="41">
        <v>40544</v>
      </c>
      <c r="L50" s="41" t="s">
        <v>67</v>
      </c>
      <c r="M50" s="38" t="s">
        <v>26</v>
      </c>
      <c r="N50" s="42" t="s">
        <v>27</v>
      </c>
    </row>
    <row r="51" spans="1:14" s="4" customFormat="1" ht="49.5" customHeight="1">
      <c r="A51" s="35">
        <f t="shared" si="3"/>
        <v>49</v>
      </c>
      <c r="B51" s="36" t="s">
        <v>118</v>
      </c>
      <c r="C51" s="36" t="s">
        <v>146</v>
      </c>
      <c r="D51" s="36" t="s">
        <v>147</v>
      </c>
      <c r="E51" s="37">
        <v>0</v>
      </c>
      <c r="F51" s="37">
        <v>0</v>
      </c>
      <c r="G51" s="37">
        <f t="shared" si="2"/>
        <v>0</v>
      </c>
      <c r="H51" s="38" t="s">
        <v>148</v>
      </c>
      <c r="I51" s="39">
        <v>480000</v>
      </c>
      <c r="J51" s="43">
        <v>480000</v>
      </c>
      <c r="K51" s="41">
        <v>40141</v>
      </c>
      <c r="L51" s="41">
        <v>41049</v>
      </c>
      <c r="M51" s="38" t="s">
        <v>26</v>
      </c>
      <c r="N51" s="42" t="s">
        <v>27</v>
      </c>
    </row>
    <row r="52" spans="1:14" s="4" customFormat="1" ht="49.5" customHeight="1">
      <c r="A52" s="35">
        <f t="shared" si="3"/>
        <v>50</v>
      </c>
      <c r="B52" s="36" t="s">
        <v>149</v>
      </c>
      <c r="C52" s="36" t="s">
        <v>150</v>
      </c>
      <c r="D52" s="36" t="s">
        <v>151</v>
      </c>
      <c r="E52" s="37">
        <v>0</v>
      </c>
      <c r="F52" s="37">
        <v>0</v>
      </c>
      <c r="G52" s="37">
        <f t="shared" si="2"/>
        <v>0</v>
      </c>
      <c r="H52" s="38" t="s">
        <v>152</v>
      </c>
      <c r="I52" s="39">
        <v>1800000</v>
      </c>
      <c r="J52" s="43">
        <v>1080000</v>
      </c>
      <c r="K52" s="41">
        <v>40638</v>
      </c>
      <c r="L52" s="41">
        <v>41002</v>
      </c>
      <c r="M52" s="38" t="s">
        <v>26</v>
      </c>
      <c r="N52" s="42" t="s">
        <v>68</v>
      </c>
    </row>
    <row r="53" spans="1:14" s="4" customFormat="1" ht="49.5" customHeight="1">
      <c r="A53" s="35">
        <f t="shared" si="3"/>
        <v>51</v>
      </c>
      <c r="B53" s="36" t="s">
        <v>153</v>
      </c>
      <c r="C53" s="36" t="s">
        <v>154</v>
      </c>
      <c r="D53" s="36" t="s">
        <v>155</v>
      </c>
      <c r="E53" s="37">
        <v>0</v>
      </c>
      <c r="F53" s="37">
        <v>0</v>
      </c>
      <c r="G53" s="37">
        <f t="shared" si="2"/>
        <v>0</v>
      </c>
      <c r="H53" s="38" t="s">
        <v>156</v>
      </c>
      <c r="I53" s="39">
        <v>5860725</v>
      </c>
      <c r="J53" s="43">
        <v>5860725</v>
      </c>
      <c r="K53" s="41">
        <v>38884</v>
      </c>
      <c r="L53" s="41">
        <v>40451</v>
      </c>
      <c r="M53" s="38" t="s">
        <v>26</v>
      </c>
      <c r="N53" s="42" t="s">
        <v>27</v>
      </c>
    </row>
    <row r="54" spans="1:14" s="4" customFormat="1" ht="49.5" customHeight="1">
      <c r="A54" s="35">
        <f t="shared" si="3"/>
        <v>52</v>
      </c>
      <c r="B54" s="36" t="s">
        <v>153</v>
      </c>
      <c r="C54" s="36" t="s">
        <v>154</v>
      </c>
      <c r="D54" s="36" t="s">
        <v>157</v>
      </c>
      <c r="E54" s="37">
        <v>0</v>
      </c>
      <c r="F54" s="37">
        <v>0</v>
      </c>
      <c r="G54" s="37">
        <f t="shared" si="2"/>
        <v>0</v>
      </c>
      <c r="H54" s="38" t="s">
        <v>158</v>
      </c>
      <c r="I54" s="39">
        <v>4900000</v>
      </c>
      <c r="J54" s="43">
        <f>571422.36+2000142.18</f>
        <v>2571564.54</v>
      </c>
      <c r="K54" s="41">
        <v>39447</v>
      </c>
      <c r="L54" s="41">
        <v>40482</v>
      </c>
      <c r="M54" s="38" t="s">
        <v>159</v>
      </c>
      <c r="N54" s="42" t="s">
        <v>27</v>
      </c>
    </row>
    <row r="55" spans="1:14" s="4" customFormat="1" ht="49.5" customHeight="1">
      <c r="A55" s="35">
        <f t="shared" si="3"/>
        <v>53</v>
      </c>
      <c r="B55" s="36" t="s">
        <v>153</v>
      </c>
      <c r="C55" s="36" t="s">
        <v>154</v>
      </c>
      <c r="D55" s="36" t="s">
        <v>160</v>
      </c>
      <c r="E55" s="37">
        <v>0</v>
      </c>
      <c r="F55" s="37">
        <v>0</v>
      </c>
      <c r="G55" s="37">
        <f t="shared" si="2"/>
        <v>0</v>
      </c>
      <c r="H55" s="38" t="s">
        <v>161</v>
      </c>
      <c r="I55" s="39">
        <v>8195570</v>
      </c>
      <c r="J55" s="43">
        <f>827000+110901.25+287371.7</f>
        <v>1225272.95</v>
      </c>
      <c r="K55" s="41">
        <v>39447</v>
      </c>
      <c r="L55" s="41">
        <v>40471</v>
      </c>
      <c r="M55" s="38" t="s">
        <v>159</v>
      </c>
      <c r="N55" s="42" t="s">
        <v>27</v>
      </c>
    </row>
    <row r="56" spans="1:14" s="4" customFormat="1" ht="49.5" customHeight="1">
      <c r="A56" s="35">
        <f t="shared" si="3"/>
        <v>54</v>
      </c>
      <c r="B56" s="36" t="s">
        <v>153</v>
      </c>
      <c r="C56" s="36" t="s">
        <v>162</v>
      </c>
      <c r="D56" s="36" t="s">
        <v>163</v>
      </c>
      <c r="E56" s="37">
        <v>0</v>
      </c>
      <c r="F56" s="37">
        <v>0</v>
      </c>
      <c r="G56" s="37">
        <f t="shared" si="2"/>
        <v>0</v>
      </c>
      <c r="H56" s="38" t="s">
        <v>164</v>
      </c>
      <c r="I56" s="39">
        <v>394200</v>
      </c>
      <c r="J56" s="43">
        <v>394200</v>
      </c>
      <c r="K56" s="41">
        <v>40528</v>
      </c>
      <c r="L56" s="41">
        <v>41455</v>
      </c>
      <c r="M56" s="38" t="s">
        <v>26</v>
      </c>
      <c r="N56" s="42" t="s">
        <v>27</v>
      </c>
    </row>
    <row r="57" spans="1:14" s="4" customFormat="1" ht="49.5" customHeight="1">
      <c r="A57" s="35">
        <f t="shared" si="3"/>
        <v>55</v>
      </c>
      <c r="B57" s="36" t="s">
        <v>153</v>
      </c>
      <c r="C57" s="36" t="s">
        <v>162</v>
      </c>
      <c r="D57" s="36" t="s">
        <v>165</v>
      </c>
      <c r="E57" s="37">
        <v>0</v>
      </c>
      <c r="F57" s="37">
        <v>0</v>
      </c>
      <c r="G57" s="37">
        <f t="shared" si="2"/>
        <v>0</v>
      </c>
      <c r="H57" s="38" t="s">
        <v>166</v>
      </c>
      <c r="I57" s="39">
        <v>255740</v>
      </c>
      <c r="J57" s="43">
        <v>86491.27</v>
      </c>
      <c r="K57" s="41">
        <v>40528</v>
      </c>
      <c r="L57" s="41">
        <v>41455</v>
      </c>
      <c r="M57" s="38" t="s">
        <v>26</v>
      </c>
      <c r="N57" s="42" t="s">
        <v>27</v>
      </c>
    </row>
    <row r="58" spans="1:14" s="4" customFormat="1" ht="49.5" customHeight="1">
      <c r="A58" s="35">
        <f t="shared" si="3"/>
        <v>56</v>
      </c>
      <c r="B58" s="36" t="s">
        <v>153</v>
      </c>
      <c r="C58" s="36" t="s">
        <v>162</v>
      </c>
      <c r="D58" s="36" t="s">
        <v>167</v>
      </c>
      <c r="E58" s="37">
        <v>0</v>
      </c>
      <c r="F58" s="37">
        <v>0</v>
      </c>
      <c r="G58" s="37">
        <f t="shared" si="2"/>
        <v>0</v>
      </c>
      <c r="H58" s="38" t="s">
        <v>168</v>
      </c>
      <c r="I58" s="39">
        <v>295300</v>
      </c>
      <c r="J58" s="43">
        <v>103414.06</v>
      </c>
      <c r="K58" s="41">
        <v>40528</v>
      </c>
      <c r="L58" s="41">
        <v>41455</v>
      </c>
      <c r="M58" s="38" t="s">
        <v>26</v>
      </c>
      <c r="N58" s="42" t="s">
        <v>27</v>
      </c>
    </row>
    <row r="59" spans="1:14" s="4" customFormat="1" ht="49.5" customHeight="1">
      <c r="A59" s="35">
        <f t="shared" si="3"/>
        <v>57</v>
      </c>
      <c r="B59" s="36" t="s">
        <v>153</v>
      </c>
      <c r="C59" s="36" t="s">
        <v>162</v>
      </c>
      <c r="D59" s="36" t="s">
        <v>169</v>
      </c>
      <c r="E59" s="37">
        <v>0</v>
      </c>
      <c r="F59" s="37">
        <v>0</v>
      </c>
      <c r="G59" s="37">
        <f t="shared" si="2"/>
        <v>0</v>
      </c>
      <c r="H59" s="38" t="s">
        <v>170</v>
      </c>
      <c r="I59" s="39">
        <v>245850</v>
      </c>
      <c r="J59" s="43">
        <v>85383.7</v>
      </c>
      <c r="K59" s="41">
        <v>40528</v>
      </c>
      <c r="L59" s="41">
        <v>41455</v>
      </c>
      <c r="M59" s="38" t="s">
        <v>26</v>
      </c>
      <c r="N59" s="42" t="s">
        <v>27</v>
      </c>
    </row>
    <row r="60" spans="1:14" s="4" customFormat="1" ht="49.5" customHeight="1">
      <c r="A60" s="35">
        <f t="shared" si="3"/>
        <v>58</v>
      </c>
      <c r="B60" s="36" t="s">
        <v>171</v>
      </c>
      <c r="C60" s="36" t="s">
        <v>172</v>
      </c>
      <c r="D60" s="36" t="s">
        <v>173</v>
      </c>
      <c r="E60" s="37">
        <v>0</v>
      </c>
      <c r="F60" s="37">
        <v>0</v>
      </c>
      <c r="G60" s="37">
        <f t="shared" si="2"/>
        <v>0</v>
      </c>
      <c r="H60" s="38" t="s">
        <v>174</v>
      </c>
      <c r="I60" s="39">
        <v>97500</v>
      </c>
      <c r="J60" s="43">
        <v>48750</v>
      </c>
      <c r="K60" s="41">
        <v>40057</v>
      </c>
      <c r="L60" s="41">
        <v>40452</v>
      </c>
      <c r="M60" s="38" t="s">
        <v>26</v>
      </c>
      <c r="N60" s="42" t="s">
        <v>27</v>
      </c>
    </row>
    <row r="61" spans="1:14" s="4" customFormat="1" ht="49.5" customHeight="1">
      <c r="A61" s="35">
        <f t="shared" si="3"/>
        <v>59</v>
      </c>
      <c r="B61" s="36" t="s">
        <v>175</v>
      </c>
      <c r="C61" s="36" t="s">
        <v>176</v>
      </c>
      <c r="D61" s="36" t="s">
        <v>177</v>
      </c>
      <c r="E61" s="37">
        <v>0</v>
      </c>
      <c r="F61" s="37">
        <v>0</v>
      </c>
      <c r="G61" s="37">
        <f t="shared" si="2"/>
        <v>0</v>
      </c>
      <c r="H61" s="38" t="s">
        <v>178</v>
      </c>
      <c r="I61" s="39">
        <v>146250</v>
      </c>
      <c r="J61" s="43">
        <v>146250</v>
      </c>
      <c r="K61" s="41">
        <v>39812</v>
      </c>
      <c r="L61" s="41">
        <v>40663</v>
      </c>
      <c r="M61" s="38" t="s">
        <v>26</v>
      </c>
      <c r="N61" s="42" t="s">
        <v>27</v>
      </c>
    </row>
    <row r="62" spans="1:14" s="4" customFormat="1" ht="49.5" customHeight="1">
      <c r="A62" s="35">
        <f t="shared" si="3"/>
        <v>60</v>
      </c>
      <c r="B62" s="36" t="s">
        <v>175</v>
      </c>
      <c r="C62" s="36" t="s">
        <v>176</v>
      </c>
      <c r="D62" s="36" t="s">
        <v>179</v>
      </c>
      <c r="E62" s="37">
        <v>0</v>
      </c>
      <c r="F62" s="37">
        <v>0</v>
      </c>
      <c r="G62" s="37">
        <f t="shared" si="2"/>
        <v>0</v>
      </c>
      <c r="H62" s="38" t="s">
        <v>180</v>
      </c>
      <c r="I62" s="39">
        <v>254104.34</v>
      </c>
      <c r="J62" s="43">
        <v>254104.34</v>
      </c>
      <c r="K62" s="41">
        <v>40361</v>
      </c>
      <c r="L62" s="41">
        <v>40723</v>
      </c>
      <c r="M62" s="38" t="s">
        <v>26</v>
      </c>
      <c r="N62" s="42" t="s">
        <v>27</v>
      </c>
    </row>
    <row r="63" spans="1:14" s="4" customFormat="1" ht="49.5" customHeight="1">
      <c r="A63" s="35">
        <f t="shared" si="3"/>
        <v>61</v>
      </c>
      <c r="B63" s="36" t="s">
        <v>181</v>
      </c>
      <c r="C63" s="36" t="s">
        <v>182</v>
      </c>
      <c r="D63" s="36" t="s">
        <v>183</v>
      </c>
      <c r="E63" s="37">
        <v>0</v>
      </c>
      <c r="F63" s="37">
        <v>0</v>
      </c>
      <c r="G63" s="37">
        <f t="shared" si="2"/>
        <v>0</v>
      </c>
      <c r="H63" s="38" t="s">
        <v>184</v>
      </c>
      <c r="I63" s="39">
        <v>72000</v>
      </c>
      <c r="J63" s="43">
        <v>71997.99</v>
      </c>
      <c r="K63" s="41">
        <v>40544</v>
      </c>
      <c r="L63" s="41" t="s">
        <v>67</v>
      </c>
      <c r="M63" s="38" t="s">
        <v>26</v>
      </c>
      <c r="N63" s="42" t="s">
        <v>27</v>
      </c>
    </row>
    <row r="64" spans="1:14" s="4" customFormat="1" ht="49.5" customHeight="1">
      <c r="A64" s="35">
        <f t="shared" si="3"/>
        <v>62</v>
      </c>
      <c r="B64" s="36" t="s">
        <v>181</v>
      </c>
      <c r="C64" s="36" t="s">
        <v>185</v>
      </c>
      <c r="D64" s="36" t="s">
        <v>186</v>
      </c>
      <c r="E64" s="37">
        <v>0</v>
      </c>
      <c r="F64" s="37">
        <v>0</v>
      </c>
      <c r="G64" s="37">
        <f t="shared" si="2"/>
        <v>0</v>
      </c>
      <c r="H64" s="38" t="s">
        <v>187</v>
      </c>
      <c r="I64" s="39">
        <v>105000</v>
      </c>
      <c r="J64" s="43">
        <v>82954.57</v>
      </c>
      <c r="K64" s="41">
        <v>40544</v>
      </c>
      <c r="L64" s="41" t="s">
        <v>67</v>
      </c>
      <c r="M64" s="38" t="s">
        <v>26</v>
      </c>
      <c r="N64" s="42" t="s">
        <v>27</v>
      </c>
    </row>
    <row r="65" spans="1:14" s="4" customFormat="1" ht="49.5" customHeight="1">
      <c r="A65" s="35">
        <f t="shared" si="3"/>
        <v>63</v>
      </c>
      <c r="B65" s="36" t="s">
        <v>181</v>
      </c>
      <c r="C65" s="36" t="s">
        <v>188</v>
      </c>
      <c r="D65" s="36" t="s">
        <v>189</v>
      </c>
      <c r="E65" s="37">
        <v>0</v>
      </c>
      <c r="F65" s="37">
        <v>0</v>
      </c>
      <c r="G65" s="37">
        <f t="shared" si="2"/>
        <v>0</v>
      </c>
      <c r="H65" s="38" t="s">
        <v>190</v>
      </c>
      <c r="I65" s="39">
        <v>2000000</v>
      </c>
      <c r="J65" s="43">
        <f>200000+1300000</f>
        <v>1500000</v>
      </c>
      <c r="K65" s="41">
        <v>40057</v>
      </c>
      <c r="L65" s="41" t="s">
        <v>67</v>
      </c>
      <c r="M65" s="38" t="s">
        <v>26</v>
      </c>
      <c r="N65" s="42" t="s">
        <v>27</v>
      </c>
    </row>
    <row r="66" spans="1:14" s="4" customFormat="1" ht="49.5" customHeight="1">
      <c r="A66" s="35">
        <f t="shared" si="3"/>
        <v>64</v>
      </c>
      <c r="B66" s="36" t="s">
        <v>181</v>
      </c>
      <c r="C66" s="36" t="s">
        <v>191</v>
      </c>
      <c r="D66" s="36" t="s">
        <v>192</v>
      </c>
      <c r="E66" s="37">
        <v>8800</v>
      </c>
      <c r="F66" s="37">
        <v>0</v>
      </c>
      <c r="G66" s="37">
        <f t="shared" si="2"/>
        <v>8800</v>
      </c>
      <c r="H66" s="38" t="s">
        <v>193</v>
      </c>
      <c r="I66" s="39">
        <v>105600</v>
      </c>
      <c r="J66" s="43">
        <v>88000</v>
      </c>
      <c r="K66" s="41">
        <v>40544</v>
      </c>
      <c r="L66" s="41" t="s">
        <v>67</v>
      </c>
      <c r="M66" s="38" t="s">
        <v>26</v>
      </c>
      <c r="N66" s="42" t="s">
        <v>27</v>
      </c>
    </row>
    <row r="67" spans="1:14" s="4" customFormat="1" ht="49.5" customHeight="1">
      <c r="A67" s="35">
        <f t="shared" si="3"/>
        <v>65</v>
      </c>
      <c r="B67" s="36" t="s">
        <v>181</v>
      </c>
      <c r="C67" s="36" t="s">
        <v>194</v>
      </c>
      <c r="D67" s="36" t="s">
        <v>195</v>
      </c>
      <c r="E67" s="37">
        <v>0</v>
      </c>
      <c r="F67" s="37">
        <v>0</v>
      </c>
      <c r="G67" s="37">
        <f aca="true" t="shared" si="4" ref="G67:G77">E67+F67</f>
        <v>0</v>
      </c>
      <c r="H67" s="38" t="s">
        <v>196</v>
      </c>
      <c r="I67" s="39">
        <v>386608.8</v>
      </c>
      <c r="J67" s="43">
        <v>354391.4</v>
      </c>
      <c r="K67" s="41">
        <v>40544</v>
      </c>
      <c r="L67" s="41" t="s">
        <v>67</v>
      </c>
      <c r="M67" s="38" t="s">
        <v>26</v>
      </c>
      <c r="N67" s="42" t="s">
        <v>27</v>
      </c>
    </row>
    <row r="68" spans="1:14" s="4" customFormat="1" ht="49.5" customHeight="1">
      <c r="A68" s="35">
        <f aca="true" t="shared" si="5" ref="A68:A77">A67+1</f>
        <v>66</v>
      </c>
      <c r="B68" s="36" t="s">
        <v>181</v>
      </c>
      <c r="C68" s="36" t="s">
        <v>185</v>
      </c>
      <c r="D68" s="36" t="s">
        <v>197</v>
      </c>
      <c r="E68" s="37">
        <v>36000</v>
      </c>
      <c r="F68" s="37">
        <v>0</v>
      </c>
      <c r="G68" s="37">
        <f t="shared" si="4"/>
        <v>36000</v>
      </c>
      <c r="H68" s="38" t="s">
        <v>184</v>
      </c>
      <c r="I68" s="39">
        <v>36000</v>
      </c>
      <c r="J68" s="43">
        <v>0</v>
      </c>
      <c r="K68" s="41">
        <v>40544</v>
      </c>
      <c r="L68" s="41" t="s">
        <v>67</v>
      </c>
      <c r="M68" s="38" t="s">
        <v>26</v>
      </c>
      <c r="N68" s="42" t="s">
        <v>27</v>
      </c>
    </row>
    <row r="69" spans="1:14" s="4" customFormat="1" ht="49.5" customHeight="1">
      <c r="A69" s="35">
        <f t="shared" si="5"/>
        <v>67</v>
      </c>
      <c r="B69" s="36" t="s">
        <v>181</v>
      </c>
      <c r="C69" s="36" t="s">
        <v>185</v>
      </c>
      <c r="D69" s="36" t="s">
        <v>198</v>
      </c>
      <c r="E69" s="37">
        <v>4407.62</v>
      </c>
      <c r="F69" s="37">
        <v>0</v>
      </c>
      <c r="G69" s="37">
        <f t="shared" si="4"/>
        <v>4407.62</v>
      </c>
      <c r="H69" s="44" t="s">
        <v>184</v>
      </c>
      <c r="I69" s="45">
        <v>245000</v>
      </c>
      <c r="J69" s="40">
        <v>237337.58</v>
      </c>
      <c r="K69" s="41">
        <v>40544</v>
      </c>
      <c r="L69" s="41" t="s">
        <v>67</v>
      </c>
      <c r="M69" s="46" t="s">
        <v>26</v>
      </c>
      <c r="N69" s="42" t="s">
        <v>27</v>
      </c>
    </row>
    <row r="70" spans="1:14" s="4" customFormat="1" ht="49.5" customHeight="1">
      <c r="A70" s="35">
        <f t="shared" si="5"/>
        <v>68</v>
      </c>
      <c r="B70" s="36" t="s">
        <v>181</v>
      </c>
      <c r="C70" s="36" t="s">
        <v>199</v>
      </c>
      <c r="D70" s="36" t="s">
        <v>200</v>
      </c>
      <c r="E70" s="37">
        <v>0</v>
      </c>
      <c r="F70" s="37">
        <v>0</v>
      </c>
      <c r="G70" s="37">
        <f t="shared" si="4"/>
        <v>0</v>
      </c>
      <c r="H70" s="44" t="s">
        <v>201</v>
      </c>
      <c r="I70" s="45">
        <v>95000</v>
      </c>
      <c r="J70" s="40">
        <v>95000</v>
      </c>
      <c r="K70" s="41">
        <v>40483</v>
      </c>
      <c r="L70" s="41" t="s">
        <v>67</v>
      </c>
      <c r="M70" s="46" t="s">
        <v>26</v>
      </c>
      <c r="N70" s="42" t="s">
        <v>27</v>
      </c>
    </row>
    <row r="71" spans="1:14" s="4" customFormat="1" ht="49.5" customHeight="1">
      <c r="A71" s="35">
        <f t="shared" si="5"/>
        <v>69</v>
      </c>
      <c r="B71" s="36" t="s">
        <v>181</v>
      </c>
      <c r="C71" s="36" t="s">
        <v>199</v>
      </c>
      <c r="D71" s="36" t="s">
        <v>202</v>
      </c>
      <c r="E71" s="37">
        <v>0</v>
      </c>
      <c r="F71" s="37">
        <v>0</v>
      </c>
      <c r="G71" s="37">
        <f t="shared" si="4"/>
        <v>0</v>
      </c>
      <c r="H71" s="44" t="s">
        <v>201</v>
      </c>
      <c r="I71" s="45">
        <v>30000</v>
      </c>
      <c r="J71" s="40">
        <v>30000</v>
      </c>
      <c r="K71" s="41">
        <v>40483</v>
      </c>
      <c r="L71" s="41" t="s">
        <v>67</v>
      </c>
      <c r="M71" s="46" t="s">
        <v>26</v>
      </c>
      <c r="N71" s="42" t="s">
        <v>27</v>
      </c>
    </row>
    <row r="72" spans="1:14" s="4" customFormat="1" ht="49.5" customHeight="1">
      <c r="A72" s="35">
        <f t="shared" si="5"/>
        <v>70</v>
      </c>
      <c r="B72" s="36" t="s">
        <v>181</v>
      </c>
      <c r="C72" s="36" t="s">
        <v>199</v>
      </c>
      <c r="D72" s="36" t="s">
        <v>203</v>
      </c>
      <c r="E72" s="37">
        <v>1950</v>
      </c>
      <c r="F72" s="37">
        <v>0</v>
      </c>
      <c r="G72" s="37">
        <f t="shared" si="4"/>
        <v>1950</v>
      </c>
      <c r="H72" s="44" t="s">
        <v>201</v>
      </c>
      <c r="I72" s="45">
        <v>1950</v>
      </c>
      <c r="J72" s="40">
        <v>0</v>
      </c>
      <c r="K72" s="41">
        <v>40878</v>
      </c>
      <c r="L72" s="41" t="s">
        <v>67</v>
      </c>
      <c r="M72" s="46" t="s">
        <v>26</v>
      </c>
      <c r="N72" s="42" t="s">
        <v>27</v>
      </c>
    </row>
    <row r="73" spans="1:14" s="4" customFormat="1" ht="49.5" customHeight="1">
      <c r="A73" s="35">
        <f t="shared" si="5"/>
        <v>71</v>
      </c>
      <c r="B73" s="36" t="s">
        <v>181</v>
      </c>
      <c r="C73" s="36" t="s">
        <v>204</v>
      </c>
      <c r="D73" s="36" t="s">
        <v>205</v>
      </c>
      <c r="E73" s="37">
        <v>0</v>
      </c>
      <c r="F73" s="37">
        <v>0</v>
      </c>
      <c r="G73" s="37">
        <f t="shared" si="4"/>
        <v>0</v>
      </c>
      <c r="H73" s="44" t="s">
        <v>206</v>
      </c>
      <c r="I73" s="45">
        <v>266666.7</v>
      </c>
      <c r="J73" s="40">
        <v>26666.67</v>
      </c>
      <c r="K73" s="41">
        <v>40544</v>
      </c>
      <c r="L73" s="41" t="s">
        <v>67</v>
      </c>
      <c r="M73" s="46" t="s">
        <v>26</v>
      </c>
      <c r="N73" s="42" t="s">
        <v>27</v>
      </c>
    </row>
    <row r="74" spans="1:14" s="4" customFormat="1" ht="49.5" customHeight="1">
      <c r="A74" s="35">
        <f t="shared" si="5"/>
        <v>72</v>
      </c>
      <c r="B74" s="36" t="s">
        <v>181</v>
      </c>
      <c r="C74" s="36" t="s">
        <v>204</v>
      </c>
      <c r="D74" s="36" t="s">
        <v>207</v>
      </c>
      <c r="E74" s="37">
        <v>0</v>
      </c>
      <c r="F74" s="37">
        <v>0</v>
      </c>
      <c r="G74" s="37">
        <f t="shared" si="4"/>
        <v>0</v>
      </c>
      <c r="H74" s="44" t="s">
        <v>208</v>
      </c>
      <c r="I74" s="45">
        <v>200000</v>
      </c>
      <c r="J74" s="40">
        <v>20000</v>
      </c>
      <c r="K74" s="41">
        <v>40544</v>
      </c>
      <c r="L74" s="41" t="s">
        <v>67</v>
      </c>
      <c r="M74" s="46" t="s">
        <v>26</v>
      </c>
      <c r="N74" s="42" t="s">
        <v>27</v>
      </c>
    </row>
    <row r="75" spans="1:14" s="4" customFormat="1" ht="49.5" customHeight="1">
      <c r="A75" s="35">
        <f t="shared" si="5"/>
        <v>73</v>
      </c>
      <c r="B75" s="36" t="s">
        <v>181</v>
      </c>
      <c r="C75" s="36" t="s">
        <v>204</v>
      </c>
      <c r="D75" s="36" t="s">
        <v>209</v>
      </c>
      <c r="E75" s="37">
        <v>0</v>
      </c>
      <c r="F75" s="37">
        <v>0</v>
      </c>
      <c r="G75" s="37">
        <f t="shared" si="4"/>
        <v>0</v>
      </c>
      <c r="H75" s="44" t="s">
        <v>210</v>
      </c>
      <c r="I75" s="45">
        <v>400000</v>
      </c>
      <c r="J75" s="40">
        <v>40000</v>
      </c>
      <c r="K75" s="41">
        <v>40544</v>
      </c>
      <c r="L75" s="41" t="s">
        <v>67</v>
      </c>
      <c r="M75" s="46" t="s">
        <v>26</v>
      </c>
      <c r="N75" s="42" t="s">
        <v>27</v>
      </c>
    </row>
    <row r="76" spans="1:14" s="4" customFormat="1" ht="49.5" customHeight="1">
      <c r="A76" s="35">
        <f t="shared" si="5"/>
        <v>74</v>
      </c>
      <c r="B76" s="36" t="s">
        <v>181</v>
      </c>
      <c r="C76" s="36" t="s">
        <v>204</v>
      </c>
      <c r="D76" s="36" t="s">
        <v>211</v>
      </c>
      <c r="E76" s="37">
        <v>0</v>
      </c>
      <c r="F76" s="37">
        <v>0</v>
      </c>
      <c r="G76" s="37">
        <f t="shared" si="4"/>
        <v>0</v>
      </c>
      <c r="H76" s="44" t="s">
        <v>212</v>
      </c>
      <c r="I76" s="45">
        <v>200000</v>
      </c>
      <c r="J76" s="40">
        <v>20000</v>
      </c>
      <c r="K76" s="41">
        <v>40544</v>
      </c>
      <c r="L76" s="41" t="s">
        <v>67</v>
      </c>
      <c r="M76" s="46" t="s">
        <v>26</v>
      </c>
      <c r="N76" s="42" t="s">
        <v>27</v>
      </c>
    </row>
    <row r="77" spans="1:14" s="4" customFormat="1" ht="49.5" customHeight="1" thickBot="1">
      <c r="A77" s="48">
        <f t="shared" si="5"/>
        <v>75</v>
      </c>
      <c r="B77" s="49" t="s">
        <v>181</v>
      </c>
      <c r="C77" s="49" t="s">
        <v>204</v>
      </c>
      <c r="D77" s="49" t="s">
        <v>213</v>
      </c>
      <c r="E77" s="50">
        <v>0</v>
      </c>
      <c r="F77" s="50">
        <v>0</v>
      </c>
      <c r="G77" s="50">
        <f t="shared" si="4"/>
        <v>0</v>
      </c>
      <c r="H77" s="51" t="s">
        <v>214</v>
      </c>
      <c r="I77" s="52">
        <v>200000</v>
      </c>
      <c r="J77" s="53">
        <v>20000</v>
      </c>
      <c r="K77" s="54">
        <v>40544</v>
      </c>
      <c r="L77" s="54" t="s">
        <v>67</v>
      </c>
      <c r="M77" s="55" t="s">
        <v>26</v>
      </c>
      <c r="N77" s="56" t="s">
        <v>27</v>
      </c>
    </row>
    <row r="78" spans="1:14" s="4" customFormat="1" ht="49.5" customHeight="1" thickBot="1" thickTop="1">
      <c r="A78" s="9"/>
      <c r="B78" s="10"/>
      <c r="C78" s="10"/>
      <c r="D78" s="57" t="s">
        <v>215</v>
      </c>
      <c r="E78" s="58">
        <f>SUM(E3:E77)</f>
        <v>1477009.1099999999</v>
      </c>
      <c r="F78" s="58">
        <f>SUM(F3:F77)</f>
        <v>0</v>
      </c>
      <c r="G78" s="59">
        <f>SUM(G3:G77)</f>
        <v>1477009.1099999999</v>
      </c>
      <c r="H78" s="10"/>
      <c r="I78" s="10"/>
      <c r="J78" s="10"/>
      <c r="K78" s="10"/>
      <c r="L78" s="11"/>
      <c r="M78" s="10"/>
      <c r="N78" s="12"/>
    </row>
    <row r="79" ht="13.5" thickTop="1"/>
    <row r="80" spans="1:14" s="15" customFormat="1" ht="12.75">
      <c r="A80" s="13"/>
      <c r="B80" s="14"/>
      <c r="C80" s="14"/>
      <c r="D80" s="25" t="s">
        <v>239</v>
      </c>
      <c r="E80" s="25"/>
      <c r="F80" s="25"/>
      <c r="G80" s="25"/>
      <c r="K80" s="14"/>
      <c r="L80" s="16"/>
      <c r="M80" s="14"/>
      <c r="N80" s="17"/>
    </row>
    <row r="81" spans="2:13" s="15" customFormat="1" ht="12.75">
      <c r="B81" s="22"/>
      <c r="C81" s="22"/>
      <c r="E81" s="22"/>
      <c r="F81" s="22"/>
      <c r="G81" s="22"/>
      <c r="K81" s="22"/>
      <c r="L81" s="22"/>
      <c r="M81" s="22"/>
    </row>
    <row r="82" spans="1:14" s="15" customFormat="1" ht="12.75">
      <c r="A82" s="20"/>
      <c r="B82" s="24" t="s">
        <v>221</v>
      </c>
      <c r="C82" s="24"/>
      <c r="E82" s="23" t="s">
        <v>222</v>
      </c>
      <c r="F82" s="23"/>
      <c r="G82" s="23"/>
      <c r="K82" s="23" t="s">
        <v>223</v>
      </c>
      <c r="L82" s="23"/>
      <c r="M82" s="23"/>
      <c r="N82" s="19"/>
    </row>
    <row r="83" spans="1:14" s="15" customFormat="1" ht="12.75">
      <c r="A83" s="21"/>
      <c r="B83" s="18" t="s">
        <v>224</v>
      </c>
      <c r="C83" s="18"/>
      <c r="E83" s="18" t="s">
        <v>225</v>
      </c>
      <c r="F83" s="18"/>
      <c r="G83" s="18"/>
      <c r="K83" s="18" t="s">
        <v>226</v>
      </c>
      <c r="L83" s="18"/>
      <c r="M83" s="18"/>
      <c r="N83" s="19"/>
    </row>
  </sheetData>
  <sheetProtection selectLockedCells="1" selectUnlockedCells="1"/>
  <mergeCells count="11">
    <mergeCell ref="B82:C82"/>
    <mergeCell ref="B83:C83"/>
    <mergeCell ref="E81:G81"/>
    <mergeCell ref="K81:M81"/>
    <mergeCell ref="A1:N1"/>
    <mergeCell ref="E82:G82"/>
    <mergeCell ref="K82:M82"/>
    <mergeCell ref="E83:G83"/>
    <mergeCell ref="K83:M83"/>
    <mergeCell ref="D80:G80"/>
    <mergeCell ref="B81:C81"/>
  </mergeCells>
  <printOptions horizontalCentered="1"/>
  <pageMargins left="0" right="0" top="0.5905511811023623" bottom="0.3937007874015748" header="0.1968503937007874" footer="0.1968503937007874"/>
  <pageSetup firstPageNumber="1" useFirstPageNumber="1" fitToHeight="8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zoomScalePageLayoutView="0" workbookViewId="0" topLeftCell="A103">
      <selection activeCell="H123" sqref="H12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331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80" t="s">
        <v>315</v>
      </c>
      <c r="C3" s="80" t="s">
        <v>316</v>
      </c>
      <c r="D3" s="80" t="s">
        <v>317</v>
      </c>
      <c r="E3" s="28">
        <v>1063.57</v>
      </c>
      <c r="F3" s="28">
        <v>0</v>
      </c>
      <c r="G3" s="28">
        <f aca="true" t="shared" si="0" ref="G3:G66">E3+F3</f>
        <v>1063.57</v>
      </c>
      <c r="H3" s="29" t="s">
        <v>318</v>
      </c>
      <c r="I3" s="30">
        <f>G3</f>
        <v>1063.57</v>
      </c>
      <c r="J3" s="28">
        <v>0</v>
      </c>
      <c r="K3" s="32">
        <v>38681</v>
      </c>
      <c r="L3" s="32">
        <v>41274</v>
      </c>
      <c r="M3" s="33" t="s">
        <v>319</v>
      </c>
      <c r="N3" s="34" t="s">
        <v>68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10</v>
      </c>
      <c r="D4" s="36" t="s">
        <v>11</v>
      </c>
      <c r="E4" s="37">
        <v>8415</v>
      </c>
      <c r="F4" s="37">
        <v>0</v>
      </c>
      <c r="G4" s="37">
        <f t="shared" si="0"/>
        <v>8415</v>
      </c>
      <c r="H4" s="44" t="s">
        <v>12</v>
      </c>
      <c r="I4" s="45">
        <f>12*8415</f>
        <v>100980</v>
      </c>
      <c r="J4" s="37">
        <f>25245+16830+8415+33660+8415</f>
        <v>92565</v>
      </c>
      <c r="K4" s="41">
        <v>40545</v>
      </c>
      <c r="L4" s="41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15</v>
      </c>
      <c r="D5" s="36" t="s">
        <v>11</v>
      </c>
      <c r="E5" s="37">
        <v>7150</v>
      </c>
      <c r="F5" s="37">
        <v>0</v>
      </c>
      <c r="G5" s="37">
        <f t="shared" si="0"/>
        <v>7150</v>
      </c>
      <c r="H5" s="38" t="s">
        <v>16</v>
      </c>
      <c r="I5" s="39">
        <f>7150*12</f>
        <v>85800</v>
      </c>
      <c r="J5" s="37">
        <f>21450+14300+7150+28600+7150</f>
        <v>78650</v>
      </c>
      <c r="K5" s="41">
        <v>40545</v>
      </c>
      <c r="L5" s="41">
        <v>40908</v>
      </c>
      <c r="M5" s="38" t="s">
        <v>13</v>
      </c>
      <c r="N5" s="42" t="s">
        <v>14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10</v>
      </c>
      <c r="D6" s="36" t="s">
        <v>11</v>
      </c>
      <c r="E6" s="37">
        <f>33660+16830+8415+16830</f>
        <v>75735</v>
      </c>
      <c r="F6" s="37">
        <v>0</v>
      </c>
      <c r="G6" s="37">
        <f t="shared" si="0"/>
        <v>75735</v>
      </c>
      <c r="H6" s="44" t="s">
        <v>12</v>
      </c>
      <c r="I6" s="45">
        <f>12*8415</f>
        <v>100980</v>
      </c>
      <c r="J6" s="37">
        <v>0</v>
      </c>
      <c r="K6" s="41">
        <v>40910</v>
      </c>
      <c r="L6" s="41">
        <v>41274</v>
      </c>
      <c r="M6" s="38" t="s">
        <v>285</v>
      </c>
      <c r="N6" s="42" t="s">
        <v>14</v>
      </c>
    </row>
    <row r="7" spans="1:14" s="4" customFormat="1" ht="49.5" customHeight="1">
      <c r="A7" s="35">
        <f t="shared" si="1"/>
        <v>5</v>
      </c>
      <c r="B7" s="36" t="s">
        <v>9</v>
      </c>
      <c r="C7" s="36" t="s">
        <v>15</v>
      </c>
      <c r="D7" s="36" t="s">
        <v>11</v>
      </c>
      <c r="E7" s="37">
        <f>28600+14300+7150+77792.4+14300+12965.4</f>
        <v>155107.8</v>
      </c>
      <c r="F7" s="37">
        <v>0</v>
      </c>
      <c r="G7" s="37">
        <f t="shared" si="0"/>
        <v>155107.8</v>
      </c>
      <c r="H7" s="38" t="s">
        <v>16</v>
      </c>
      <c r="I7" s="39">
        <f>7150*12</f>
        <v>85800</v>
      </c>
      <c r="J7" s="37">
        <v>0</v>
      </c>
      <c r="K7" s="41">
        <v>40910</v>
      </c>
      <c r="L7" s="41">
        <v>41274</v>
      </c>
      <c r="M7" s="38" t="s">
        <v>285</v>
      </c>
      <c r="N7" s="42" t="s">
        <v>14</v>
      </c>
    </row>
    <row r="8" spans="1:14" s="4" customFormat="1" ht="49.5" customHeight="1">
      <c r="A8" s="35">
        <f t="shared" si="1"/>
        <v>6</v>
      </c>
      <c r="B8" s="36" t="s">
        <v>295</v>
      </c>
      <c r="C8" s="36" t="s">
        <v>296</v>
      </c>
      <c r="D8" s="36" t="s">
        <v>297</v>
      </c>
      <c r="E8" s="37">
        <v>20000</v>
      </c>
      <c r="F8" s="37">
        <v>0</v>
      </c>
      <c r="G8" s="37">
        <f t="shared" si="0"/>
        <v>20000</v>
      </c>
      <c r="H8" s="38" t="s">
        <v>298</v>
      </c>
      <c r="I8" s="39">
        <v>20000</v>
      </c>
      <c r="J8" s="37">
        <v>0</v>
      </c>
      <c r="K8" s="41">
        <v>41086</v>
      </c>
      <c r="L8" s="41">
        <v>41274</v>
      </c>
      <c r="M8" s="38" t="s">
        <v>285</v>
      </c>
      <c r="N8" s="42" t="s">
        <v>68</v>
      </c>
    </row>
    <row r="9" spans="1:14" s="4" customFormat="1" ht="49.5" customHeight="1">
      <c r="A9" s="35">
        <f t="shared" si="1"/>
        <v>7</v>
      </c>
      <c r="B9" s="36" t="s">
        <v>17</v>
      </c>
      <c r="C9" s="36" t="s">
        <v>18</v>
      </c>
      <c r="D9" s="36" t="s">
        <v>19</v>
      </c>
      <c r="E9" s="37">
        <v>0</v>
      </c>
      <c r="F9" s="37">
        <v>0</v>
      </c>
      <c r="G9" s="37">
        <f t="shared" si="0"/>
        <v>0</v>
      </c>
      <c r="H9" s="38" t="s">
        <v>20</v>
      </c>
      <c r="I9" s="39">
        <v>2556407.93</v>
      </c>
      <c r="J9" s="39">
        <v>383461.19</v>
      </c>
      <c r="K9" s="41">
        <v>40142</v>
      </c>
      <c r="L9" s="41">
        <v>40872</v>
      </c>
      <c r="M9" s="38" t="s">
        <v>21</v>
      </c>
      <c r="N9" s="42" t="s">
        <v>22</v>
      </c>
    </row>
    <row r="10" spans="1:14" s="4" customFormat="1" ht="49.5" customHeight="1">
      <c r="A10" s="35">
        <f t="shared" si="1"/>
        <v>8</v>
      </c>
      <c r="B10" s="36" t="s">
        <v>17</v>
      </c>
      <c r="C10" s="36" t="s">
        <v>23</v>
      </c>
      <c r="D10" s="36" t="s">
        <v>24</v>
      </c>
      <c r="E10" s="37">
        <f>279227.1+279227.1+279227.1+279227.1+279227.1+325180.33+325180.33+325180.33</f>
        <v>2371676.49</v>
      </c>
      <c r="F10" s="37">
        <v>0</v>
      </c>
      <c r="G10" s="37">
        <f t="shared" si="0"/>
        <v>2371676.49</v>
      </c>
      <c r="H10" s="38" t="s">
        <v>25</v>
      </c>
      <c r="I10" s="39">
        <v>2792271</v>
      </c>
      <c r="J10" s="37">
        <f>279227.1+279227.1+279227.1+279227.1+279227.1</f>
        <v>1396135.5</v>
      </c>
      <c r="K10" s="41">
        <v>39995</v>
      </c>
      <c r="L10" s="41">
        <v>41820</v>
      </c>
      <c r="M10" s="38" t="s">
        <v>26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257</v>
      </c>
      <c r="C11" s="36" t="s">
        <v>258</v>
      </c>
      <c r="D11" s="36" t="s">
        <v>259</v>
      </c>
      <c r="E11" s="37">
        <f>196589+196589+196589</f>
        <v>589767</v>
      </c>
      <c r="F11" s="37">
        <v>0</v>
      </c>
      <c r="G11" s="37">
        <f t="shared" si="0"/>
        <v>589767</v>
      </c>
      <c r="H11" s="38" t="s">
        <v>260</v>
      </c>
      <c r="I11" s="39">
        <f>4*196589</f>
        <v>786356</v>
      </c>
      <c r="J11" s="39">
        <v>0</v>
      </c>
      <c r="K11" s="41">
        <v>40957</v>
      </c>
      <c r="L11" s="41">
        <v>41688</v>
      </c>
      <c r="M11" s="38" t="s">
        <v>26</v>
      </c>
      <c r="N11" s="42" t="s">
        <v>68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30</v>
      </c>
      <c r="E12" s="37">
        <v>0</v>
      </c>
      <c r="F12" s="37">
        <v>0</v>
      </c>
      <c r="G12" s="37">
        <f t="shared" si="0"/>
        <v>0</v>
      </c>
      <c r="H12" s="38" t="s">
        <v>31</v>
      </c>
      <c r="I12" s="39">
        <v>273666.94</v>
      </c>
      <c r="J12" s="39">
        <v>273666.94</v>
      </c>
      <c r="K12" s="41">
        <v>40178</v>
      </c>
      <c r="L12" s="41">
        <v>40542</v>
      </c>
      <c r="M12" s="38" t="s">
        <v>32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33</v>
      </c>
      <c r="E13" s="37">
        <v>0</v>
      </c>
      <c r="F13" s="37">
        <v>0</v>
      </c>
      <c r="G13" s="37">
        <f t="shared" si="0"/>
        <v>0</v>
      </c>
      <c r="H13" s="38" t="s">
        <v>34</v>
      </c>
      <c r="I13" s="39">
        <v>1636649.08</v>
      </c>
      <c r="J13" s="39">
        <v>514958.82</v>
      </c>
      <c r="K13" s="41">
        <v>40176</v>
      </c>
      <c r="L13" s="41">
        <v>40722</v>
      </c>
      <c r="M13" s="38" t="s">
        <v>35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36</v>
      </c>
      <c r="E14" s="37">
        <v>516891.15</v>
      </c>
      <c r="F14" s="37">
        <v>0</v>
      </c>
      <c r="G14" s="37">
        <f t="shared" si="0"/>
        <v>516891.15</v>
      </c>
      <c r="H14" s="44" t="s">
        <v>37</v>
      </c>
      <c r="I14" s="45">
        <v>1492263.04</v>
      </c>
      <c r="J14" s="45">
        <v>517381.16</v>
      </c>
      <c r="K14" s="41">
        <v>40176</v>
      </c>
      <c r="L14" s="41">
        <v>40905</v>
      </c>
      <c r="M14" s="38" t="s">
        <v>38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39</v>
      </c>
      <c r="E15" s="37">
        <v>147662.4</v>
      </c>
      <c r="F15" s="37">
        <v>0</v>
      </c>
      <c r="G15" s="37">
        <f t="shared" si="0"/>
        <v>147662.4</v>
      </c>
      <c r="H15" s="38" t="s">
        <v>40</v>
      </c>
      <c r="I15" s="39">
        <v>322420.94</v>
      </c>
      <c r="J15" s="39">
        <v>174758.54</v>
      </c>
      <c r="K15" s="41">
        <v>40176</v>
      </c>
      <c r="L15" s="46">
        <v>40540</v>
      </c>
      <c r="M15" s="38" t="s">
        <v>32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41</v>
      </c>
      <c r="E16" s="37">
        <v>0</v>
      </c>
      <c r="F16" s="37">
        <v>0</v>
      </c>
      <c r="G16" s="37">
        <f t="shared" si="0"/>
        <v>0</v>
      </c>
      <c r="H16" s="38" t="s">
        <v>42</v>
      </c>
      <c r="I16" s="39">
        <v>851408.61</v>
      </c>
      <c r="J16" s="39">
        <f>588308.41+263100.2</f>
        <v>851408.6100000001</v>
      </c>
      <c r="K16" s="41">
        <v>38890</v>
      </c>
      <c r="L16" s="41">
        <v>40056</v>
      </c>
      <c r="M16" s="38" t="s">
        <v>26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43</v>
      </c>
      <c r="E17" s="37">
        <v>140800</v>
      </c>
      <c r="F17" s="37">
        <v>0</v>
      </c>
      <c r="G17" s="37">
        <f t="shared" si="0"/>
        <v>140800</v>
      </c>
      <c r="H17" s="38" t="s">
        <v>44</v>
      </c>
      <c r="I17" s="39">
        <v>352000</v>
      </c>
      <c r="J17" s="39">
        <v>211200</v>
      </c>
      <c r="K17" s="41">
        <v>39633</v>
      </c>
      <c r="L17" s="79">
        <v>39993</v>
      </c>
      <c r="M17" s="38" t="s">
        <v>35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45</v>
      </c>
      <c r="E18" s="37">
        <v>0</v>
      </c>
      <c r="F18" s="37">
        <v>0</v>
      </c>
      <c r="G18" s="37">
        <f t="shared" si="0"/>
        <v>0</v>
      </c>
      <c r="H18" s="38" t="s">
        <v>46</v>
      </c>
      <c r="I18" s="39">
        <v>516646.91</v>
      </c>
      <c r="J18" s="39">
        <v>437114.41</v>
      </c>
      <c r="K18" s="41">
        <v>40536</v>
      </c>
      <c r="L18" s="41">
        <v>40900</v>
      </c>
      <c r="M18" s="38" t="s">
        <v>26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47</v>
      </c>
      <c r="E19" s="37">
        <v>0</v>
      </c>
      <c r="F19" s="37">
        <v>0</v>
      </c>
      <c r="G19" s="37">
        <f t="shared" si="0"/>
        <v>0</v>
      </c>
      <c r="H19" s="38" t="s">
        <v>48</v>
      </c>
      <c r="I19" s="39">
        <v>100000</v>
      </c>
      <c r="J19" s="39">
        <v>100000</v>
      </c>
      <c r="K19" s="41">
        <v>40177</v>
      </c>
      <c r="L19" s="41">
        <v>40541</v>
      </c>
      <c r="M19" s="38" t="s">
        <v>32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49</v>
      </c>
      <c r="E20" s="37">
        <v>0</v>
      </c>
      <c r="F20" s="37">
        <v>0</v>
      </c>
      <c r="G20" s="37">
        <f t="shared" si="0"/>
        <v>0</v>
      </c>
      <c r="H20" s="38" t="s">
        <v>50</v>
      </c>
      <c r="I20" s="39">
        <v>202569.34</v>
      </c>
      <c r="J20" s="39">
        <v>202569.343</v>
      </c>
      <c r="K20" s="41">
        <v>40542</v>
      </c>
      <c r="L20" s="41">
        <v>40907</v>
      </c>
      <c r="M20" s="38" t="s">
        <v>26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28</v>
      </c>
      <c r="C21" s="36" t="s">
        <v>29</v>
      </c>
      <c r="D21" s="36" t="s">
        <v>51</v>
      </c>
      <c r="E21" s="37">
        <v>182038.38</v>
      </c>
      <c r="F21" s="37">
        <v>0</v>
      </c>
      <c r="G21" s="37">
        <f t="shared" si="0"/>
        <v>182038.38</v>
      </c>
      <c r="H21" s="38" t="s">
        <v>52</v>
      </c>
      <c r="I21" s="39">
        <v>3640767.5</v>
      </c>
      <c r="J21" s="39">
        <v>0</v>
      </c>
      <c r="K21" s="41">
        <v>40542</v>
      </c>
      <c r="L21" s="41">
        <v>42001</v>
      </c>
      <c r="M21" s="38" t="s">
        <v>35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53</v>
      </c>
      <c r="C22" s="36" t="s">
        <v>29</v>
      </c>
      <c r="D22" s="36" t="s">
        <v>54</v>
      </c>
      <c r="E22" s="37">
        <v>771437.88</v>
      </c>
      <c r="F22" s="37">
        <v>0</v>
      </c>
      <c r="G22" s="37">
        <f t="shared" si="0"/>
        <v>771437.88</v>
      </c>
      <c r="H22" s="38" t="s">
        <v>55</v>
      </c>
      <c r="I22" s="39">
        <v>771437.88</v>
      </c>
      <c r="J22" s="39">
        <v>0</v>
      </c>
      <c r="K22" s="41">
        <v>40886</v>
      </c>
      <c r="L22" s="41">
        <v>41617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53</v>
      </c>
      <c r="C23" s="36" t="s">
        <v>29</v>
      </c>
      <c r="D23" s="36" t="s">
        <v>56</v>
      </c>
      <c r="E23" s="37">
        <v>90000</v>
      </c>
      <c r="F23" s="37">
        <v>0</v>
      </c>
      <c r="G23" s="37">
        <f t="shared" si="0"/>
        <v>90000</v>
      </c>
      <c r="H23" s="38" t="s">
        <v>57</v>
      </c>
      <c r="I23" s="39">
        <v>3944386.94</v>
      </c>
      <c r="J23" s="39">
        <v>0</v>
      </c>
      <c r="K23" s="41">
        <v>40904</v>
      </c>
      <c r="L23" s="41">
        <v>42000</v>
      </c>
      <c r="M23" s="38" t="s">
        <v>35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28</v>
      </c>
      <c r="C24" s="36" t="s">
        <v>58</v>
      </c>
      <c r="D24" s="36" t="s">
        <v>59</v>
      </c>
      <c r="E24" s="37">
        <v>0</v>
      </c>
      <c r="F24" s="37">
        <v>0</v>
      </c>
      <c r="G24" s="37">
        <f t="shared" si="0"/>
        <v>0</v>
      </c>
      <c r="H24" s="38" t="s">
        <v>60</v>
      </c>
      <c r="I24" s="39">
        <v>250000</v>
      </c>
      <c r="J24" s="39">
        <v>250000</v>
      </c>
      <c r="K24" s="41">
        <v>40155</v>
      </c>
      <c r="L24" s="46">
        <v>40519</v>
      </c>
      <c r="M24" s="38" t="s">
        <v>26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28</v>
      </c>
      <c r="C25" s="36" t="s">
        <v>58</v>
      </c>
      <c r="D25" s="36" t="s">
        <v>61</v>
      </c>
      <c r="E25" s="37">
        <v>0</v>
      </c>
      <c r="F25" s="37">
        <v>0</v>
      </c>
      <c r="G25" s="37">
        <f t="shared" si="0"/>
        <v>0</v>
      </c>
      <c r="H25" s="44" t="s">
        <v>62</v>
      </c>
      <c r="I25" s="45">
        <v>700000</v>
      </c>
      <c r="J25" s="45">
        <v>486857</v>
      </c>
      <c r="K25" s="41">
        <v>40532</v>
      </c>
      <c r="L25" s="41">
        <v>40711</v>
      </c>
      <c r="M25" s="38" t="s">
        <v>26</v>
      </c>
      <c r="N25" s="42" t="s">
        <v>27</v>
      </c>
    </row>
    <row r="26" spans="1:14" s="4" customFormat="1" ht="49.5" customHeight="1">
      <c r="A26" s="35">
        <f t="shared" si="1"/>
        <v>24</v>
      </c>
      <c r="B26" s="36" t="s">
        <v>28</v>
      </c>
      <c r="C26" s="36" t="s">
        <v>58</v>
      </c>
      <c r="D26" s="36" t="s">
        <v>261</v>
      </c>
      <c r="E26" s="37">
        <v>200000</v>
      </c>
      <c r="F26" s="37">
        <v>0</v>
      </c>
      <c r="G26" s="37">
        <f t="shared" si="0"/>
        <v>200000</v>
      </c>
      <c r="H26" s="44" t="s">
        <v>262</v>
      </c>
      <c r="I26" s="45">
        <v>200000</v>
      </c>
      <c r="J26" s="45">
        <v>0</v>
      </c>
      <c r="K26" s="41">
        <v>41018</v>
      </c>
      <c r="L26" s="41">
        <v>41378</v>
      </c>
      <c r="M26" s="38" t="s">
        <v>26</v>
      </c>
      <c r="N26" s="42" t="s">
        <v>27</v>
      </c>
    </row>
    <row r="27" spans="1:14" s="4" customFormat="1" ht="49.5" customHeight="1">
      <c r="A27" s="35">
        <f t="shared" si="1"/>
        <v>25</v>
      </c>
      <c r="B27" s="36" t="s">
        <v>274</v>
      </c>
      <c r="C27" s="36" t="s">
        <v>275</v>
      </c>
      <c r="D27" s="36" t="s">
        <v>276</v>
      </c>
      <c r="E27" s="37">
        <v>330000</v>
      </c>
      <c r="F27" s="37">
        <v>0</v>
      </c>
      <c r="G27" s="37">
        <f t="shared" si="0"/>
        <v>330000</v>
      </c>
      <c r="H27" s="44" t="s">
        <v>277</v>
      </c>
      <c r="I27" s="45">
        <v>330000</v>
      </c>
      <c r="J27" s="45">
        <v>0</v>
      </c>
      <c r="K27" s="41">
        <v>41019</v>
      </c>
      <c r="L27" s="41">
        <v>41229</v>
      </c>
      <c r="M27" s="38" t="s">
        <v>26</v>
      </c>
      <c r="N27" s="42" t="s">
        <v>68</v>
      </c>
    </row>
    <row r="28" spans="1:14" s="4" customFormat="1" ht="49.5" customHeight="1">
      <c r="A28" s="35">
        <f t="shared" si="1"/>
        <v>26</v>
      </c>
      <c r="B28" s="36" t="s">
        <v>63</v>
      </c>
      <c r="C28" s="36" t="s">
        <v>64</v>
      </c>
      <c r="D28" s="36" t="s">
        <v>65</v>
      </c>
      <c r="E28" s="37">
        <f>47533.89+15844.63+15844.63+15844.63</f>
        <v>95067.78</v>
      </c>
      <c r="F28" s="37">
        <v>0</v>
      </c>
      <c r="G28" s="37">
        <f t="shared" si="0"/>
        <v>95067.78</v>
      </c>
      <c r="H28" s="38" t="s">
        <v>264</v>
      </c>
      <c r="I28" s="39">
        <v>47533.89</v>
      </c>
      <c r="J28" s="39">
        <v>47533.89</v>
      </c>
      <c r="K28" s="41">
        <v>39814</v>
      </c>
      <c r="L28" s="41" t="s">
        <v>67</v>
      </c>
      <c r="M28" s="38" t="s">
        <v>26</v>
      </c>
      <c r="N28" s="42" t="s">
        <v>68</v>
      </c>
    </row>
    <row r="29" spans="1:14" s="4" customFormat="1" ht="49.5" customHeight="1">
      <c r="A29" s="35">
        <f t="shared" si="1"/>
        <v>27</v>
      </c>
      <c r="B29" s="36" t="s">
        <v>63</v>
      </c>
      <c r="C29" s="36" t="s">
        <v>64</v>
      </c>
      <c r="D29" s="36" t="s">
        <v>69</v>
      </c>
      <c r="E29" s="37">
        <v>0</v>
      </c>
      <c r="F29" s="37">
        <v>0</v>
      </c>
      <c r="G29" s="37">
        <f t="shared" si="0"/>
        <v>0</v>
      </c>
      <c r="H29" s="38" t="s">
        <v>264</v>
      </c>
      <c r="I29" s="39">
        <f>2880+6720</f>
        <v>9600</v>
      </c>
      <c r="J29" s="39">
        <f>7600+2000</f>
        <v>9600</v>
      </c>
      <c r="K29" s="41">
        <v>40303</v>
      </c>
      <c r="L29" s="41" t="s">
        <v>67</v>
      </c>
      <c r="M29" s="38" t="s">
        <v>26</v>
      </c>
      <c r="N29" s="42" t="s">
        <v>68</v>
      </c>
    </row>
    <row r="30" spans="1:14" s="4" customFormat="1" ht="49.5" customHeight="1">
      <c r="A30" s="35">
        <f t="shared" si="1"/>
        <v>28</v>
      </c>
      <c r="B30" s="36" t="s">
        <v>63</v>
      </c>
      <c r="C30" s="36" t="s">
        <v>64</v>
      </c>
      <c r="D30" s="36" t="s">
        <v>263</v>
      </c>
      <c r="E30" s="37">
        <f>1281.93+4497.1</f>
        <v>5779.030000000001</v>
      </c>
      <c r="F30" s="37">
        <v>0</v>
      </c>
      <c r="G30" s="37">
        <f t="shared" si="0"/>
        <v>5779.030000000001</v>
      </c>
      <c r="H30" s="38" t="s">
        <v>264</v>
      </c>
      <c r="I30" s="39">
        <v>5779.03</v>
      </c>
      <c r="J30" s="39">
        <v>0</v>
      </c>
      <c r="K30" s="41">
        <v>39600</v>
      </c>
      <c r="L30" s="41">
        <v>41274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63</v>
      </c>
      <c r="C31" s="36" t="s">
        <v>70</v>
      </c>
      <c r="D31" s="36" t="s">
        <v>71</v>
      </c>
      <c r="E31" s="37">
        <v>0</v>
      </c>
      <c r="F31" s="37">
        <v>0</v>
      </c>
      <c r="G31" s="37">
        <f t="shared" si="0"/>
        <v>0</v>
      </c>
      <c r="H31" s="38" t="s">
        <v>72</v>
      </c>
      <c r="I31" s="39">
        <v>70000</v>
      </c>
      <c r="J31" s="39">
        <v>70000</v>
      </c>
      <c r="K31" s="41">
        <v>40540</v>
      </c>
      <c r="L31" s="41">
        <v>40724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63</v>
      </c>
      <c r="C32" s="36" t="s">
        <v>70</v>
      </c>
      <c r="D32" s="36" t="s">
        <v>73</v>
      </c>
      <c r="E32" s="37">
        <v>0</v>
      </c>
      <c r="F32" s="37">
        <v>0</v>
      </c>
      <c r="G32" s="37">
        <f t="shared" si="0"/>
        <v>0</v>
      </c>
      <c r="H32" s="38" t="s">
        <v>74</v>
      </c>
      <c r="I32" s="39">
        <v>60000</v>
      </c>
      <c r="J32" s="39">
        <v>60000</v>
      </c>
      <c r="K32" s="41">
        <v>40540</v>
      </c>
      <c r="L32" s="41">
        <v>40724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63</v>
      </c>
      <c r="C33" s="36" t="s">
        <v>75</v>
      </c>
      <c r="D33" s="36" t="s">
        <v>76</v>
      </c>
      <c r="E33" s="37">
        <v>0</v>
      </c>
      <c r="F33" s="37">
        <v>0</v>
      </c>
      <c r="G33" s="37">
        <f t="shared" si="0"/>
        <v>0</v>
      </c>
      <c r="H33" s="38" t="s">
        <v>77</v>
      </c>
      <c r="I33" s="39">
        <v>630000</v>
      </c>
      <c r="J33" s="39">
        <v>630000</v>
      </c>
      <c r="K33" s="41">
        <v>40599</v>
      </c>
      <c r="L33" s="41">
        <v>40908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75</v>
      </c>
      <c r="D34" s="36" t="s">
        <v>78</v>
      </c>
      <c r="E34" s="37">
        <v>105000</v>
      </c>
      <c r="F34" s="37">
        <v>0</v>
      </c>
      <c r="G34" s="37">
        <f t="shared" si="0"/>
        <v>105000</v>
      </c>
      <c r="H34" s="38" t="s">
        <v>79</v>
      </c>
      <c r="I34" s="39">
        <v>630000</v>
      </c>
      <c r="J34" s="39">
        <v>525000</v>
      </c>
      <c r="K34" s="41">
        <v>40751</v>
      </c>
      <c r="L34" s="41">
        <v>40908</v>
      </c>
      <c r="M34" s="38" t="s">
        <v>26</v>
      </c>
      <c r="N34" s="42" t="s">
        <v>68</v>
      </c>
    </row>
    <row r="35" spans="1:14" s="4" customFormat="1" ht="49.5" customHeight="1">
      <c r="A35" s="35">
        <f t="shared" si="1"/>
        <v>33</v>
      </c>
      <c r="B35" s="36" t="s">
        <v>63</v>
      </c>
      <c r="C35" s="36" t="s">
        <v>75</v>
      </c>
      <c r="D35" s="36" t="s">
        <v>265</v>
      </c>
      <c r="E35" s="37">
        <f>105000+105000+105000</f>
        <v>315000</v>
      </c>
      <c r="F35" s="37">
        <v>0</v>
      </c>
      <c r="G35" s="37">
        <f t="shared" si="0"/>
        <v>315000</v>
      </c>
      <c r="H35" s="38" t="s">
        <v>266</v>
      </c>
      <c r="I35" s="39">
        <v>315000</v>
      </c>
      <c r="J35" s="39">
        <v>0</v>
      </c>
      <c r="K35" s="41">
        <v>40977</v>
      </c>
      <c r="L35" s="41">
        <v>41271</v>
      </c>
      <c r="M35" s="38" t="s">
        <v>26</v>
      </c>
      <c r="N35" s="42" t="s">
        <v>68</v>
      </c>
    </row>
    <row r="36" spans="1:14" s="4" customFormat="1" ht="49.5" customHeight="1">
      <c r="A36" s="35">
        <f t="shared" si="1"/>
        <v>34</v>
      </c>
      <c r="B36" s="36" t="s">
        <v>63</v>
      </c>
      <c r="C36" s="36" t="s">
        <v>70</v>
      </c>
      <c r="D36" s="36" t="s">
        <v>299</v>
      </c>
      <c r="E36" s="37">
        <v>200000</v>
      </c>
      <c r="F36" s="37">
        <v>0</v>
      </c>
      <c r="G36" s="37">
        <f t="shared" si="0"/>
        <v>200000</v>
      </c>
      <c r="H36" s="38" t="s">
        <v>300</v>
      </c>
      <c r="I36" s="39">
        <v>200000</v>
      </c>
      <c r="J36" s="39">
        <v>0</v>
      </c>
      <c r="K36" s="41">
        <v>41086</v>
      </c>
      <c r="L36" s="41">
        <v>41271</v>
      </c>
      <c r="M36" s="38" t="s">
        <v>26</v>
      </c>
      <c r="N36" s="42" t="s">
        <v>68</v>
      </c>
    </row>
    <row r="37" spans="1:14" s="4" customFormat="1" ht="49.5" customHeight="1">
      <c r="A37" s="35">
        <f t="shared" si="1"/>
        <v>35</v>
      </c>
      <c r="B37" s="36" t="s">
        <v>63</v>
      </c>
      <c r="C37" s="36" t="s">
        <v>301</v>
      </c>
      <c r="D37" s="36" t="s">
        <v>302</v>
      </c>
      <c r="E37" s="37">
        <v>360000</v>
      </c>
      <c r="F37" s="37">
        <v>0</v>
      </c>
      <c r="G37" s="37">
        <f t="shared" si="0"/>
        <v>360000</v>
      </c>
      <c r="H37" s="38" t="s">
        <v>303</v>
      </c>
      <c r="I37" s="39">
        <v>400000</v>
      </c>
      <c r="J37" s="39">
        <v>0</v>
      </c>
      <c r="K37" s="41">
        <v>41087</v>
      </c>
      <c r="L37" s="41">
        <v>41271</v>
      </c>
      <c r="M37" s="38" t="s">
        <v>26</v>
      </c>
      <c r="N37" s="42" t="s">
        <v>68</v>
      </c>
    </row>
    <row r="38" spans="1:14" s="4" customFormat="1" ht="49.5" customHeight="1">
      <c r="A38" s="35">
        <f t="shared" si="1"/>
        <v>36</v>
      </c>
      <c r="B38" s="36" t="s">
        <v>63</v>
      </c>
      <c r="C38" s="36" t="s">
        <v>75</v>
      </c>
      <c r="D38" s="36" t="s">
        <v>320</v>
      </c>
      <c r="E38" s="37">
        <f>420000+105000+105000</f>
        <v>630000</v>
      </c>
      <c r="F38" s="37">
        <v>0</v>
      </c>
      <c r="G38" s="37">
        <f t="shared" si="0"/>
        <v>630000</v>
      </c>
      <c r="H38" s="38" t="s">
        <v>321</v>
      </c>
      <c r="I38" s="39">
        <v>945000</v>
      </c>
      <c r="J38" s="39">
        <v>0</v>
      </c>
      <c r="K38" s="41">
        <v>41081</v>
      </c>
      <c r="L38" s="41">
        <v>41271</v>
      </c>
      <c r="M38" s="38" t="s">
        <v>26</v>
      </c>
      <c r="N38" s="42" t="s">
        <v>68</v>
      </c>
    </row>
    <row r="39" spans="1:14" s="4" customFormat="1" ht="49.5" customHeight="1">
      <c r="A39" s="35">
        <f t="shared" si="1"/>
        <v>37</v>
      </c>
      <c r="B39" s="36" t="s">
        <v>80</v>
      </c>
      <c r="C39" s="36" t="s">
        <v>81</v>
      </c>
      <c r="D39" s="36" t="s">
        <v>82</v>
      </c>
      <c r="E39" s="37">
        <v>0</v>
      </c>
      <c r="F39" s="37">
        <v>0</v>
      </c>
      <c r="G39" s="37">
        <f t="shared" si="0"/>
        <v>0</v>
      </c>
      <c r="H39" s="38" t="s">
        <v>83</v>
      </c>
      <c r="I39" s="39">
        <v>126000</v>
      </c>
      <c r="J39" s="39">
        <f>66036+47363</f>
        <v>113399</v>
      </c>
      <c r="K39" s="41">
        <v>39071</v>
      </c>
      <c r="L39" s="79" t="s">
        <v>84</v>
      </c>
      <c r="M39" s="38" t="s">
        <v>26</v>
      </c>
      <c r="N39" s="42" t="s">
        <v>27</v>
      </c>
    </row>
    <row r="40" spans="1:14" s="4" customFormat="1" ht="49.5" customHeight="1">
      <c r="A40" s="35">
        <f t="shared" si="1"/>
        <v>38</v>
      </c>
      <c r="B40" s="36" t="s">
        <v>85</v>
      </c>
      <c r="C40" s="36" t="s">
        <v>86</v>
      </c>
      <c r="D40" s="36" t="s">
        <v>87</v>
      </c>
      <c r="E40" s="37">
        <f>8732.91+45419.87+16466.7+27317.93+17214.98+10475.5+8869.4+12911.27</f>
        <v>147408.56</v>
      </c>
      <c r="F40" s="37">
        <v>0</v>
      </c>
      <c r="G40" s="37">
        <f t="shared" si="0"/>
        <v>147408.56</v>
      </c>
      <c r="H40" s="44" t="s">
        <v>88</v>
      </c>
      <c r="I40" s="45">
        <v>85000</v>
      </c>
      <c r="J40" s="45">
        <v>0</v>
      </c>
      <c r="K40" s="41">
        <v>38611</v>
      </c>
      <c r="L40" s="41" t="s">
        <v>67</v>
      </c>
      <c r="M40" s="46" t="s">
        <v>26</v>
      </c>
      <c r="N40" s="42" t="s">
        <v>27</v>
      </c>
    </row>
    <row r="41" spans="1:14" s="4" customFormat="1" ht="49.5" customHeight="1">
      <c r="A41" s="35">
        <f t="shared" si="1"/>
        <v>39</v>
      </c>
      <c r="B41" s="36" t="s">
        <v>89</v>
      </c>
      <c r="C41" s="36" t="s">
        <v>90</v>
      </c>
      <c r="D41" s="36" t="s">
        <v>91</v>
      </c>
      <c r="E41" s="39">
        <v>0</v>
      </c>
      <c r="F41" s="37">
        <v>0</v>
      </c>
      <c r="G41" s="37">
        <f t="shared" si="0"/>
        <v>0</v>
      </c>
      <c r="H41" s="44" t="s">
        <v>92</v>
      </c>
      <c r="I41" s="45">
        <v>292500</v>
      </c>
      <c r="J41" s="45">
        <v>292500</v>
      </c>
      <c r="K41" s="41">
        <v>40350</v>
      </c>
      <c r="L41" s="41">
        <v>40775</v>
      </c>
      <c r="M41" s="46" t="s">
        <v>26</v>
      </c>
      <c r="N41" s="42" t="s">
        <v>27</v>
      </c>
    </row>
    <row r="42" spans="1:14" s="4" customFormat="1" ht="49.5" customHeight="1">
      <c r="A42" s="35">
        <f t="shared" si="1"/>
        <v>40</v>
      </c>
      <c r="B42" s="36" t="s">
        <v>89</v>
      </c>
      <c r="C42" s="36" t="s">
        <v>322</v>
      </c>
      <c r="D42" s="36" t="s">
        <v>323</v>
      </c>
      <c r="E42" s="39">
        <v>292500</v>
      </c>
      <c r="F42" s="37">
        <v>0</v>
      </c>
      <c r="G42" s="37">
        <f t="shared" si="0"/>
        <v>292500</v>
      </c>
      <c r="H42" s="44" t="s">
        <v>324</v>
      </c>
      <c r="I42" s="45">
        <v>292500</v>
      </c>
      <c r="J42" s="45">
        <v>0</v>
      </c>
      <c r="K42" s="41">
        <v>41061</v>
      </c>
      <c r="L42" s="41">
        <v>41274</v>
      </c>
      <c r="M42" s="46" t="s">
        <v>26</v>
      </c>
      <c r="N42" s="42" t="s">
        <v>27</v>
      </c>
    </row>
    <row r="43" spans="1:14" s="4" customFormat="1" ht="49.5" customHeight="1">
      <c r="A43" s="35">
        <f t="shared" si="1"/>
        <v>41</v>
      </c>
      <c r="B43" s="36" t="s">
        <v>93</v>
      </c>
      <c r="C43" s="36" t="s">
        <v>94</v>
      </c>
      <c r="D43" s="36" t="s">
        <v>95</v>
      </c>
      <c r="E43" s="37">
        <f>179904+359808+179904+205932+205932+205932+205932</f>
        <v>1543344</v>
      </c>
      <c r="F43" s="37">
        <v>0</v>
      </c>
      <c r="G43" s="37">
        <f t="shared" si="0"/>
        <v>1543344</v>
      </c>
      <c r="H43" s="38" t="s">
        <v>96</v>
      </c>
      <c r="I43" s="39">
        <v>1803960</v>
      </c>
      <c r="J43" s="39">
        <v>0</v>
      </c>
      <c r="K43" s="41">
        <v>40544</v>
      </c>
      <c r="L43" s="41">
        <v>40908</v>
      </c>
      <c r="M43" s="46" t="s">
        <v>26</v>
      </c>
      <c r="N43" s="42" t="s">
        <v>68</v>
      </c>
    </row>
    <row r="44" spans="1:14" s="4" customFormat="1" ht="49.5" customHeight="1">
      <c r="A44" s="35">
        <f t="shared" si="1"/>
        <v>42</v>
      </c>
      <c r="B44" s="36" t="s">
        <v>93</v>
      </c>
      <c r="C44" s="36" t="s">
        <v>97</v>
      </c>
      <c r="D44" s="36" t="s">
        <v>97</v>
      </c>
      <c r="E44" s="37">
        <f>49674.78+13.72+24823.67+24837.39+24837.39+24837.39+24837.39</f>
        <v>173861.72999999998</v>
      </c>
      <c r="F44" s="37">
        <v>0</v>
      </c>
      <c r="G44" s="37">
        <f t="shared" si="0"/>
        <v>173861.72999999998</v>
      </c>
      <c r="H44" s="38" t="s">
        <v>98</v>
      </c>
      <c r="I44" s="39">
        <v>232427</v>
      </c>
      <c r="J44" s="39">
        <v>0</v>
      </c>
      <c r="K44" s="41">
        <v>40544</v>
      </c>
      <c r="L44" s="41">
        <v>40908</v>
      </c>
      <c r="M44" s="46" t="s">
        <v>26</v>
      </c>
      <c r="N44" s="42" t="s">
        <v>68</v>
      </c>
    </row>
    <row r="45" spans="1:14" s="4" customFormat="1" ht="49.5" customHeight="1">
      <c r="A45" s="35">
        <f t="shared" si="1"/>
        <v>43</v>
      </c>
      <c r="B45" s="36" t="s">
        <v>93</v>
      </c>
      <c r="C45" s="36" t="s">
        <v>99</v>
      </c>
      <c r="D45" s="36" t="s">
        <v>100</v>
      </c>
      <c r="E45" s="37">
        <f>605.5+563</f>
        <v>1168.5</v>
      </c>
      <c r="F45" s="37">
        <v>0</v>
      </c>
      <c r="G45" s="37">
        <f t="shared" si="0"/>
        <v>1168.5</v>
      </c>
      <c r="H45" s="38" t="s">
        <v>101</v>
      </c>
      <c r="I45" s="39">
        <v>12756.3</v>
      </c>
      <c r="J45" s="39">
        <v>12756.3</v>
      </c>
      <c r="K45" s="41">
        <v>40544</v>
      </c>
      <c r="L45" s="41">
        <v>40908</v>
      </c>
      <c r="M45" s="38" t="s">
        <v>26</v>
      </c>
      <c r="N45" s="42" t="s">
        <v>68</v>
      </c>
    </row>
    <row r="46" spans="1:14" s="4" customFormat="1" ht="49.5" customHeight="1">
      <c r="A46" s="35">
        <f t="shared" si="1"/>
        <v>44</v>
      </c>
      <c r="B46" s="36" t="s">
        <v>93</v>
      </c>
      <c r="C46" s="36" t="s">
        <v>102</v>
      </c>
      <c r="D46" s="36" t="s">
        <v>103</v>
      </c>
      <c r="E46" s="37">
        <v>8077.13</v>
      </c>
      <c r="F46" s="37">
        <v>0</v>
      </c>
      <c r="G46" s="37">
        <f t="shared" si="0"/>
        <v>8077.13</v>
      </c>
      <c r="H46" s="38" t="s">
        <v>104</v>
      </c>
      <c r="I46" s="39">
        <v>10750</v>
      </c>
      <c r="J46" s="39">
        <v>0</v>
      </c>
      <c r="K46" s="41">
        <v>40070</v>
      </c>
      <c r="L46" s="41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1"/>
        <v>45</v>
      </c>
      <c r="B47" s="36" t="s">
        <v>93</v>
      </c>
      <c r="C47" s="36" t="s">
        <v>105</v>
      </c>
      <c r="D47" s="36" t="s">
        <v>106</v>
      </c>
      <c r="E47" s="47">
        <v>0</v>
      </c>
      <c r="F47" s="37">
        <v>0</v>
      </c>
      <c r="G47" s="37">
        <f t="shared" si="0"/>
        <v>0</v>
      </c>
      <c r="H47" s="38" t="s">
        <v>107</v>
      </c>
      <c r="I47" s="39">
        <v>1276275.58</v>
      </c>
      <c r="J47" s="39">
        <v>255255.12</v>
      </c>
      <c r="K47" s="41">
        <v>40725</v>
      </c>
      <c r="L47" s="41">
        <v>41274</v>
      </c>
      <c r="M47" s="38" t="s">
        <v>26</v>
      </c>
      <c r="N47" s="42" t="s">
        <v>27</v>
      </c>
    </row>
    <row r="48" spans="1:14" s="4" customFormat="1" ht="49.5" customHeight="1">
      <c r="A48" s="35">
        <f t="shared" si="1"/>
        <v>46</v>
      </c>
      <c r="B48" s="36" t="s">
        <v>93</v>
      </c>
      <c r="C48" s="36" t="s">
        <v>105</v>
      </c>
      <c r="D48" s="36" t="s">
        <v>108</v>
      </c>
      <c r="E48" s="47">
        <v>0</v>
      </c>
      <c r="F48" s="37">
        <v>0</v>
      </c>
      <c r="G48" s="37">
        <f t="shared" si="0"/>
        <v>0</v>
      </c>
      <c r="H48" s="38" t="s">
        <v>109</v>
      </c>
      <c r="I48" s="39">
        <v>1316838.4</v>
      </c>
      <c r="J48" s="39">
        <v>263367.68</v>
      </c>
      <c r="K48" s="41">
        <v>40544</v>
      </c>
      <c r="L48" s="41">
        <v>41274</v>
      </c>
      <c r="M48" s="38" t="s">
        <v>26</v>
      </c>
      <c r="N48" s="42" t="s">
        <v>27</v>
      </c>
    </row>
    <row r="49" spans="1:14" s="4" customFormat="1" ht="49.5" customHeight="1">
      <c r="A49" s="35">
        <f t="shared" si="1"/>
        <v>47</v>
      </c>
      <c r="B49" s="36" t="s">
        <v>93</v>
      </c>
      <c r="C49" s="36" t="s">
        <v>228</v>
      </c>
      <c r="D49" s="36" t="s">
        <v>229</v>
      </c>
      <c r="E49" s="47">
        <f>96359.9+144539.86</f>
        <v>240899.75999999998</v>
      </c>
      <c r="F49" s="37">
        <v>0</v>
      </c>
      <c r="G49" s="37">
        <f t="shared" si="0"/>
        <v>240899.75999999998</v>
      </c>
      <c r="H49" s="38" t="s">
        <v>230</v>
      </c>
      <c r="I49" s="39">
        <v>481799.52</v>
      </c>
      <c r="J49" s="39">
        <v>0</v>
      </c>
      <c r="K49" s="41">
        <v>40725</v>
      </c>
      <c r="L49" s="41">
        <v>41274</v>
      </c>
      <c r="M49" s="38" t="s">
        <v>26</v>
      </c>
      <c r="N49" s="42" t="s">
        <v>27</v>
      </c>
    </row>
    <row r="50" spans="1:14" s="4" customFormat="1" ht="49.5" customHeight="1">
      <c r="A50" s="35">
        <f t="shared" si="1"/>
        <v>48</v>
      </c>
      <c r="B50" s="36" t="s">
        <v>93</v>
      </c>
      <c r="C50" s="36" t="s">
        <v>110</v>
      </c>
      <c r="D50" s="36" t="s">
        <v>111</v>
      </c>
      <c r="E50" s="47">
        <v>214740</v>
      </c>
      <c r="F50" s="37">
        <v>0</v>
      </c>
      <c r="G50" s="37">
        <f t="shared" si="0"/>
        <v>214740</v>
      </c>
      <c r="H50" s="38" t="s">
        <v>112</v>
      </c>
      <c r="I50" s="39">
        <v>644220</v>
      </c>
      <c r="J50" s="39">
        <v>0</v>
      </c>
      <c r="K50" s="41">
        <v>40909</v>
      </c>
      <c r="L50" s="41">
        <v>41639</v>
      </c>
      <c r="M50" s="38" t="s">
        <v>113</v>
      </c>
      <c r="N50" s="42" t="s">
        <v>27</v>
      </c>
    </row>
    <row r="51" spans="1:14" s="4" customFormat="1" ht="49.5" customHeight="1">
      <c r="A51" s="35">
        <f t="shared" si="1"/>
        <v>49</v>
      </c>
      <c r="B51" s="36" t="s">
        <v>93</v>
      </c>
      <c r="C51" s="36" t="s">
        <v>267</v>
      </c>
      <c r="D51" s="36" t="s">
        <v>268</v>
      </c>
      <c r="E51" s="47">
        <v>396871.2</v>
      </c>
      <c r="F51" s="37">
        <v>0</v>
      </c>
      <c r="G51" s="37">
        <f t="shared" si="0"/>
        <v>396871.2</v>
      </c>
      <c r="H51" s="38" t="s">
        <v>269</v>
      </c>
      <c r="I51" s="39">
        <v>0</v>
      </c>
      <c r="J51" s="39">
        <v>0</v>
      </c>
      <c r="K51" s="41">
        <v>40909</v>
      </c>
      <c r="L51" s="41">
        <v>41274</v>
      </c>
      <c r="M51" s="46" t="s">
        <v>26</v>
      </c>
      <c r="N51" s="42" t="s">
        <v>68</v>
      </c>
    </row>
    <row r="52" spans="1:15" s="7" customFormat="1" ht="49.5" customHeight="1">
      <c r="A52" s="35">
        <f t="shared" si="1"/>
        <v>50</v>
      </c>
      <c r="B52" s="36" t="s">
        <v>114</v>
      </c>
      <c r="C52" s="36" t="s">
        <v>115</v>
      </c>
      <c r="D52" s="36" t="s">
        <v>116</v>
      </c>
      <c r="E52" s="37">
        <v>0</v>
      </c>
      <c r="F52" s="37">
        <v>0</v>
      </c>
      <c r="G52" s="37">
        <f t="shared" si="0"/>
        <v>0</v>
      </c>
      <c r="H52" s="38" t="s">
        <v>117</v>
      </c>
      <c r="I52" s="39">
        <v>120000</v>
      </c>
      <c r="J52" s="39">
        <v>120000</v>
      </c>
      <c r="K52" s="41">
        <v>39626</v>
      </c>
      <c r="L52" s="41">
        <v>40629</v>
      </c>
      <c r="M52" s="46" t="s">
        <v>26</v>
      </c>
      <c r="N52" s="42" t="s">
        <v>27</v>
      </c>
      <c r="O52" s="4"/>
    </row>
    <row r="53" spans="1:15" s="7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119</v>
      </c>
      <c r="E53" s="37">
        <v>27319.22</v>
      </c>
      <c r="F53" s="37">
        <v>0</v>
      </c>
      <c r="G53" s="37">
        <f t="shared" si="0"/>
        <v>27319.22</v>
      </c>
      <c r="H53" s="38" t="s">
        <v>120</v>
      </c>
      <c r="I53" s="39">
        <v>50000</v>
      </c>
      <c r="J53" s="39">
        <v>27218.1</v>
      </c>
      <c r="K53" s="41">
        <v>40179</v>
      </c>
      <c r="L53" s="41" t="s">
        <v>67</v>
      </c>
      <c r="M53" s="38" t="s">
        <v>121</v>
      </c>
      <c r="N53" s="42" t="s">
        <v>27</v>
      </c>
      <c r="O53" s="4"/>
    </row>
    <row r="54" spans="1:15" s="7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242</v>
      </c>
      <c r="E54" s="37">
        <f>6284.79+5879.32+5879.32+5879.32+6082.05+8665.02+8630.43</f>
        <v>47300.25</v>
      </c>
      <c r="F54" s="37">
        <v>0</v>
      </c>
      <c r="G54" s="37">
        <f t="shared" si="0"/>
        <v>47300.25</v>
      </c>
      <c r="H54" s="38" t="s">
        <v>120</v>
      </c>
      <c r="I54" s="39">
        <v>50000</v>
      </c>
      <c r="J54" s="39">
        <v>27218.1</v>
      </c>
      <c r="K54" s="41">
        <v>40179</v>
      </c>
      <c r="L54" s="41" t="s">
        <v>67</v>
      </c>
      <c r="M54" s="38" t="s">
        <v>121</v>
      </c>
      <c r="N54" s="42" t="s">
        <v>27</v>
      </c>
      <c r="O54" s="4"/>
    </row>
    <row r="55" spans="1:15" s="7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122</v>
      </c>
      <c r="E55" s="37">
        <v>0</v>
      </c>
      <c r="F55" s="37">
        <v>0</v>
      </c>
      <c r="G55" s="37">
        <f t="shared" si="0"/>
        <v>0</v>
      </c>
      <c r="H55" s="38" t="s">
        <v>123</v>
      </c>
      <c r="I55" s="39">
        <v>2950</v>
      </c>
      <c r="J55" s="39">
        <v>2950</v>
      </c>
      <c r="K55" s="41">
        <v>40118</v>
      </c>
      <c r="L55" s="41" t="s">
        <v>67</v>
      </c>
      <c r="M55" s="38" t="s">
        <v>26</v>
      </c>
      <c r="N55" s="42" t="s">
        <v>27</v>
      </c>
      <c r="O55" s="4"/>
    </row>
    <row r="56" spans="1:15" s="7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124</v>
      </c>
      <c r="E56" s="37">
        <v>0</v>
      </c>
      <c r="F56" s="37">
        <v>0</v>
      </c>
      <c r="G56" s="37">
        <f t="shared" si="0"/>
        <v>0</v>
      </c>
      <c r="H56" s="38" t="s">
        <v>123</v>
      </c>
      <c r="I56" s="39">
        <v>900</v>
      </c>
      <c r="J56" s="39">
        <v>925</v>
      </c>
      <c r="K56" s="41">
        <v>40179</v>
      </c>
      <c r="L56" s="41" t="s">
        <v>67</v>
      </c>
      <c r="M56" s="38" t="s">
        <v>26</v>
      </c>
      <c r="N56" s="42" t="s">
        <v>27</v>
      </c>
      <c r="O56" s="4"/>
    </row>
    <row r="57" spans="1:15" s="7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125</v>
      </c>
      <c r="E57" s="37">
        <v>9000</v>
      </c>
      <c r="F57" s="37">
        <v>0</v>
      </c>
      <c r="G57" s="37">
        <f t="shared" si="0"/>
        <v>9000</v>
      </c>
      <c r="H57" s="38" t="s">
        <v>126</v>
      </c>
      <c r="I57" s="39">
        <v>108000</v>
      </c>
      <c r="J57" s="39">
        <v>99000</v>
      </c>
      <c r="K57" s="41">
        <v>40544</v>
      </c>
      <c r="L57" s="41" t="s">
        <v>67</v>
      </c>
      <c r="M57" s="38" t="s">
        <v>26</v>
      </c>
      <c r="N57" s="42" t="s">
        <v>27</v>
      </c>
      <c r="O57" s="4"/>
    </row>
    <row r="58" spans="1:15" s="7" customFormat="1" ht="49.5" customHeight="1">
      <c r="A58" s="35">
        <f t="shared" si="1"/>
        <v>56</v>
      </c>
      <c r="B58" s="36" t="s">
        <v>118</v>
      </c>
      <c r="C58" s="36" t="s">
        <v>10</v>
      </c>
      <c r="D58" s="36" t="s">
        <v>243</v>
      </c>
      <c r="E58" s="37">
        <f>9000+9000+9000+9000+9000+27000+18000+18000+18000</f>
        <v>126000</v>
      </c>
      <c r="F58" s="37">
        <v>0</v>
      </c>
      <c r="G58" s="37">
        <f t="shared" si="0"/>
        <v>126000</v>
      </c>
      <c r="H58" s="38" t="s">
        <v>126</v>
      </c>
      <c r="I58" s="39">
        <v>108000</v>
      </c>
      <c r="J58" s="39">
        <v>0</v>
      </c>
      <c r="K58" s="41">
        <v>40544</v>
      </c>
      <c r="L58" s="41" t="s">
        <v>67</v>
      </c>
      <c r="M58" s="38" t="s">
        <v>26</v>
      </c>
      <c r="N58" s="42" t="s">
        <v>27</v>
      </c>
      <c r="O58" s="4"/>
    </row>
    <row r="59" spans="1:15" s="7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127</v>
      </c>
      <c r="E59" s="37">
        <v>0</v>
      </c>
      <c r="F59" s="37">
        <v>0</v>
      </c>
      <c r="G59" s="37">
        <f t="shared" si="0"/>
        <v>0</v>
      </c>
      <c r="H59" s="38" t="s">
        <v>128</v>
      </c>
      <c r="I59" s="39">
        <v>6000</v>
      </c>
      <c r="J59" s="39">
        <v>6000</v>
      </c>
      <c r="K59" s="41">
        <v>39814</v>
      </c>
      <c r="L59" s="41" t="s">
        <v>67</v>
      </c>
      <c r="M59" s="38" t="s">
        <v>26</v>
      </c>
      <c r="N59" s="42" t="s">
        <v>27</v>
      </c>
      <c r="O59" s="4"/>
    </row>
    <row r="60" spans="1:15" s="7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244</v>
      </c>
      <c r="E60" s="37">
        <v>8793</v>
      </c>
      <c r="F60" s="37">
        <v>0</v>
      </c>
      <c r="G60" s="37">
        <f t="shared" si="0"/>
        <v>8793</v>
      </c>
      <c r="H60" s="38" t="s">
        <v>130</v>
      </c>
      <c r="I60" s="39">
        <v>60300</v>
      </c>
      <c r="J60" s="39">
        <v>50561.25</v>
      </c>
      <c r="K60" s="41" t="s">
        <v>131</v>
      </c>
      <c r="L60" s="41" t="s">
        <v>67</v>
      </c>
      <c r="M60" s="38" t="s">
        <v>26</v>
      </c>
      <c r="N60" s="42" t="s">
        <v>27</v>
      </c>
      <c r="O60" s="4"/>
    </row>
    <row r="61" spans="1:15" s="7" customFormat="1" ht="49.5" customHeight="1">
      <c r="A61" s="35">
        <f t="shared" si="1"/>
        <v>59</v>
      </c>
      <c r="B61" s="36" t="s">
        <v>118</v>
      </c>
      <c r="C61" s="36" t="s">
        <v>10</v>
      </c>
      <c r="D61" s="36" t="s">
        <v>245</v>
      </c>
      <c r="E61" s="37">
        <f>5025+5025+5025+2512.5+2512.5+2512.5+2512.5</f>
        <v>25125</v>
      </c>
      <c r="F61" s="37">
        <v>0</v>
      </c>
      <c r="G61" s="37">
        <f t="shared" si="0"/>
        <v>25125</v>
      </c>
      <c r="H61" s="38" t="s">
        <v>130</v>
      </c>
      <c r="I61" s="39">
        <v>60300</v>
      </c>
      <c r="J61" s="39">
        <v>0</v>
      </c>
      <c r="K61" s="41" t="s">
        <v>131</v>
      </c>
      <c r="L61" s="41" t="s">
        <v>67</v>
      </c>
      <c r="M61" s="38" t="s">
        <v>26</v>
      </c>
      <c r="N61" s="42" t="s">
        <v>27</v>
      </c>
      <c r="O61" s="4"/>
    </row>
    <row r="62" spans="1:15" s="7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132</v>
      </c>
      <c r="E62" s="37">
        <f>1000</f>
        <v>1000</v>
      </c>
      <c r="F62" s="37">
        <v>0</v>
      </c>
      <c r="G62" s="37">
        <f t="shared" si="0"/>
        <v>1000</v>
      </c>
      <c r="H62" s="38" t="s">
        <v>133</v>
      </c>
      <c r="I62" s="39">
        <v>12000</v>
      </c>
      <c r="J62" s="39">
        <v>11000</v>
      </c>
      <c r="K62" s="41">
        <v>40544</v>
      </c>
      <c r="L62" s="41" t="s">
        <v>67</v>
      </c>
      <c r="M62" s="38" t="s">
        <v>26</v>
      </c>
      <c r="N62" s="42" t="s">
        <v>27</v>
      </c>
      <c r="O62" s="4"/>
    </row>
    <row r="63" spans="1:15" s="7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246</v>
      </c>
      <c r="E63" s="37">
        <f>1000+1000+1000+1000+1000+1000+1000+1000+1000</f>
        <v>9000</v>
      </c>
      <c r="F63" s="37">
        <v>0</v>
      </c>
      <c r="G63" s="37">
        <f t="shared" si="0"/>
        <v>9000</v>
      </c>
      <c r="H63" s="38" t="s">
        <v>133</v>
      </c>
      <c r="I63" s="39">
        <v>12000</v>
      </c>
      <c r="J63" s="39">
        <v>0</v>
      </c>
      <c r="K63" s="41">
        <v>40544</v>
      </c>
      <c r="L63" s="41" t="s">
        <v>67</v>
      </c>
      <c r="M63" s="38" t="s">
        <v>26</v>
      </c>
      <c r="N63" s="42" t="s">
        <v>27</v>
      </c>
      <c r="O63" s="4"/>
    </row>
    <row r="64" spans="1:15" s="7" customFormat="1" ht="49.5" customHeight="1">
      <c r="A64" s="35">
        <f t="shared" si="1"/>
        <v>62</v>
      </c>
      <c r="B64" s="36" t="s">
        <v>118</v>
      </c>
      <c r="C64" s="36" t="s">
        <v>15</v>
      </c>
      <c r="D64" s="36" t="s">
        <v>134</v>
      </c>
      <c r="E64" s="37">
        <f>9000+9000+9000+9000+9000+9000+9000+9000+9000</f>
        <v>81000</v>
      </c>
      <c r="F64" s="37">
        <v>0</v>
      </c>
      <c r="G64" s="37">
        <f t="shared" si="0"/>
        <v>81000</v>
      </c>
      <c r="H64" s="38" t="s">
        <v>135</v>
      </c>
      <c r="I64" s="39">
        <v>108000</v>
      </c>
      <c r="J64" s="39">
        <v>0</v>
      </c>
      <c r="K64" s="41">
        <v>40544</v>
      </c>
      <c r="L64" s="41" t="s">
        <v>67</v>
      </c>
      <c r="M64" s="38" t="s">
        <v>26</v>
      </c>
      <c r="N64" s="42" t="s">
        <v>27</v>
      </c>
      <c r="O64" s="4"/>
    </row>
    <row r="65" spans="1:15" s="7" customFormat="1" ht="49.5" customHeight="1">
      <c r="A65" s="35">
        <f t="shared" si="1"/>
        <v>63</v>
      </c>
      <c r="B65" s="36" t="s">
        <v>118</v>
      </c>
      <c r="C65" s="36" t="s">
        <v>15</v>
      </c>
      <c r="D65" s="36" t="s">
        <v>247</v>
      </c>
      <c r="E65" s="37">
        <f>12500+14700+14700+14700+14700+14700+29400</f>
        <v>115400</v>
      </c>
      <c r="F65" s="37">
        <v>0</v>
      </c>
      <c r="G65" s="37">
        <f t="shared" si="0"/>
        <v>115400</v>
      </c>
      <c r="H65" s="38" t="s">
        <v>137</v>
      </c>
      <c r="I65" s="39">
        <f>12500*12</f>
        <v>150000</v>
      </c>
      <c r="J65" s="39">
        <v>0</v>
      </c>
      <c r="K65" s="41">
        <v>40544</v>
      </c>
      <c r="L65" s="41" t="s">
        <v>67</v>
      </c>
      <c r="M65" s="38" t="s">
        <v>26</v>
      </c>
      <c r="N65" s="42" t="s">
        <v>27</v>
      </c>
      <c r="O65" s="4"/>
    </row>
    <row r="66" spans="1:15" s="7" customFormat="1" ht="49.5" customHeight="1">
      <c r="A66" s="35">
        <f t="shared" si="1"/>
        <v>64</v>
      </c>
      <c r="B66" s="36" t="s">
        <v>118</v>
      </c>
      <c r="C66" s="36" t="s">
        <v>15</v>
      </c>
      <c r="D66" s="36" t="s">
        <v>136</v>
      </c>
      <c r="E66" s="37">
        <v>10300</v>
      </c>
      <c r="F66" s="37">
        <v>0</v>
      </c>
      <c r="G66" s="37">
        <f t="shared" si="0"/>
        <v>10300</v>
      </c>
      <c r="H66" s="38" t="s">
        <v>137</v>
      </c>
      <c r="I66" s="39">
        <f>10300*12</f>
        <v>123600</v>
      </c>
      <c r="J66" s="39">
        <v>113300</v>
      </c>
      <c r="K66" s="41">
        <v>40544</v>
      </c>
      <c r="L66" s="41" t="s">
        <v>67</v>
      </c>
      <c r="M66" s="38" t="s">
        <v>26</v>
      </c>
      <c r="N66" s="42" t="s">
        <v>27</v>
      </c>
      <c r="O66" s="4"/>
    </row>
    <row r="67" spans="1:15" s="7" customFormat="1" ht="49.5" customHeight="1">
      <c r="A67" s="35">
        <f t="shared" si="1"/>
        <v>65</v>
      </c>
      <c r="B67" s="36" t="s">
        <v>118</v>
      </c>
      <c r="C67" s="36" t="s">
        <v>15</v>
      </c>
      <c r="D67" s="36" t="s">
        <v>138</v>
      </c>
      <c r="E67" s="37">
        <v>2200</v>
      </c>
      <c r="F67" s="37">
        <v>0</v>
      </c>
      <c r="G67" s="37">
        <f aca="true" t="shared" si="2" ref="G67:G105">E67+F67</f>
        <v>2200</v>
      </c>
      <c r="H67" s="38" t="s">
        <v>139</v>
      </c>
      <c r="I67" s="39">
        <v>26400</v>
      </c>
      <c r="J67" s="39">
        <f>11*2200</f>
        <v>24200</v>
      </c>
      <c r="K67" s="41">
        <v>40544</v>
      </c>
      <c r="L67" s="41" t="s">
        <v>67</v>
      </c>
      <c r="M67" s="38" t="s">
        <v>26</v>
      </c>
      <c r="N67" s="42" t="s">
        <v>27</v>
      </c>
      <c r="O67" s="4"/>
    </row>
    <row r="68" spans="1:15" s="7" customFormat="1" ht="49.5" customHeight="1">
      <c r="A68" s="35">
        <f aca="true" t="shared" si="3" ref="A68:A105">A67+1</f>
        <v>66</v>
      </c>
      <c r="B68" s="36" t="s">
        <v>118</v>
      </c>
      <c r="C68" s="36" t="s">
        <v>15</v>
      </c>
      <c r="D68" s="36" t="s">
        <v>140</v>
      </c>
      <c r="E68" s="37">
        <f>2835</f>
        <v>2835</v>
      </c>
      <c r="F68" s="37">
        <v>0</v>
      </c>
      <c r="G68" s="37">
        <f t="shared" si="2"/>
        <v>2835</v>
      </c>
      <c r="H68" s="38" t="s">
        <v>141</v>
      </c>
      <c r="I68" s="39">
        <v>34020</v>
      </c>
      <c r="J68" s="39">
        <f>11*2835</f>
        <v>31185</v>
      </c>
      <c r="K68" s="41">
        <v>40544</v>
      </c>
      <c r="L68" s="41" t="s">
        <v>67</v>
      </c>
      <c r="M68" s="38" t="s">
        <v>26</v>
      </c>
      <c r="N68" s="42" t="s">
        <v>27</v>
      </c>
      <c r="O68" s="4"/>
    </row>
    <row r="69" spans="1:15" s="7" customFormat="1" ht="49.5" customHeight="1">
      <c r="A69" s="35">
        <f t="shared" si="3"/>
        <v>67</v>
      </c>
      <c r="B69" s="36" t="s">
        <v>118</v>
      </c>
      <c r="C69" s="36" t="s">
        <v>15</v>
      </c>
      <c r="D69" s="36" t="s">
        <v>248</v>
      </c>
      <c r="E69" s="37">
        <f>2835+2835+2835+2835+2835+5670+2835+2835</f>
        <v>25515</v>
      </c>
      <c r="F69" s="37">
        <v>0</v>
      </c>
      <c r="G69" s="37">
        <f t="shared" si="2"/>
        <v>25515</v>
      </c>
      <c r="H69" s="38" t="s">
        <v>141</v>
      </c>
      <c r="I69" s="39">
        <v>34020</v>
      </c>
      <c r="J69" s="39">
        <v>0</v>
      </c>
      <c r="K69" s="41">
        <v>40544</v>
      </c>
      <c r="L69" s="41" t="s">
        <v>67</v>
      </c>
      <c r="M69" s="38" t="s">
        <v>26</v>
      </c>
      <c r="N69" s="42" t="s">
        <v>27</v>
      </c>
      <c r="O69" s="4"/>
    </row>
    <row r="70" spans="1:15" s="7" customFormat="1" ht="49.5" customHeight="1">
      <c r="A70" s="35">
        <f t="shared" si="3"/>
        <v>68</v>
      </c>
      <c r="B70" s="36" t="s">
        <v>118</v>
      </c>
      <c r="C70" s="36" t="s">
        <v>15</v>
      </c>
      <c r="D70" s="36" t="s">
        <v>234</v>
      </c>
      <c r="E70" s="37">
        <v>0</v>
      </c>
      <c r="F70" s="37">
        <v>0</v>
      </c>
      <c r="G70" s="37">
        <f t="shared" si="2"/>
        <v>0</v>
      </c>
      <c r="H70" s="38" t="s">
        <v>143</v>
      </c>
      <c r="I70" s="39">
        <v>12000</v>
      </c>
      <c r="J70" s="39">
        <v>1000</v>
      </c>
      <c r="K70" s="41">
        <v>40544</v>
      </c>
      <c r="L70" s="41" t="s">
        <v>67</v>
      </c>
      <c r="M70" s="38" t="s">
        <v>26</v>
      </c>
      <c r="N70" s="42" t="s">
        <v>27</v>
      </c>
      <c r="O70" s="4"/>
    </row>
    <row r="71" spans="1:14" s="4" customFormat="1" ht="49.5" customHeight="1">
      <c r="A71" s="35">
        <f t="shared" si="3"/>
        <v>69</v>
      </c>
      <c r="B71" s="36" t="s">
        <v>118</v>
      </c>
      <c r="C71" s="36" t="s">
        <v>10</v>
      </c>
      <c r="D71" s="36" t="s">
        <v>144</v>
      </c>
      <c r="E71" s="37">
        <f>1903.88+1903.88</f>
        <v>3807.76</v>
      </c>
      <c r="F71" s="37">
        <v>0</v>
      </c>
      <c r="G71" s="37">
        <f t="shared" si="2"/>
        <v>3807.76</v>
      </c>
      <c r="H71" s="38" t="s">
        <v>145</v>
      </c>
      <c r="I71" s="39">
        <v>11450</v>
      </c>
      <c r="J71" s="39">
        <v>0</v>
      </c>
      <c r="K71" s="41">
        <v>40544</v>
      </c>
      <c r="L71" s="41" t="s">
        <v>67</v>
      </c>
      <c r="M71" s="38" t="s">
        <v>26</v>
      </c>
      <c r="N71" s="42" t="s">
        <v>27</v>
      </c>
    </row>
    <row r="72" spans="1:14" s="4" customFormat="1" ht="49.5" customHeight="1">
      <c r="A72" s="35">
        <f t="shared" si="3"/>
        <v>70</v>
      </c>
      <c r="B72" s="36" t="s">
        <v>118</v>
      </c>
      <c r="C72" s="36" t="s">
        <v>10</v>
      </c>
      <c r="D72" s="36" t="s">
        <v>249</v>
      </c>
      <c r="E72" s="37">
        <f>1113.57+1113.57+1113.57+1113.57+3017.45+1113.57+999.86+999.86+999.86</f>
        <v>11584.880000000001</v>
      </c>
      <c r="F72" s="37">
        <v>0</v>
      </c>
      <c r="G72" s="37">
        <f t="shared" si="2"/>
        <v>11584.880000000001</v>
      </c>
      <c r="H72" s="38" t="s">
        <v>145</v>
      </c>
      <c r="I72" s="39">
        <v>11450</v>
      </c>
      <c r="J72" s="39">
        <v>0</v>
      </c>
      <c r="K72" s="41">
        <v>40544</v>
      </c>
      <c r="L72" s="41" t="s">
        <v>67</v>
      </c>
      <c r="M72" s="38" t="s">
        <v>26</v>
      </c>
      <c r="N72" s="42" t="s">
        <v>27</v>
      </c>
    </row>
    <row r="73" spans="1:14" s="4" customFormat="1" ht="49.5" customHeight="1">
      <c r="A73" s="35">
        <f t="shared" si="3"/>
        <v>71</v>
      </c>
      <c r="B73" s="36" t="s">
        <v>118</v>
      </c>
      <c r="C73" s="36" t="s">
        <v>146</v>
      </c>
      <c r="D73" s="36" t="s">
        <v>147</v>
      </c>
      <c r="E73" s="37">
        <v>0</v>
      </c>
      <c r="F73" s="37">
        <v>0</v>
      </c>
      <c r="G73" s="37">
        <f t="shared" si="2"/>
        <v>0</v>
      </c>
      <c r="H73" s="38" t="s">
        <v>148</v>
      </c>
      <c r="I73" s="39">
        <v>480000</v>
      </c>
      <c r="J73" s="39">
        <v>480000</v>
      </c>
      <c r="K73" s="41">
        <v>40141</v>
      </c>
      <c r="L73" s="41">
        <v>41049</v>
      </c>
      <c r="M73" s="38" t="s">
        <v>26</v>
      </c>
      <c r="N73" s="42" t="s">
        <v>27</v>
      </c>
    </row>
    <row r="74" spans="1:14" s="4" customFormat="1" ht="49.5" customHeight="1">
      <c r="A74" s="35">
        <f t="shared" si="3"/>
        <v>72</v>
      </c>
      <c r="B74" s="36" t="s">
        <v>149</v>
      </c>
      <c r="C74" s="36" t="s">
        <v>150</v>
      </c>
      <c r="D74" s="36" t="s">
        <v>151</v>
      </c>
      <c r="E74" s="37">
        <v>0</v>
      </c>
      <c r="F74" s="37">
        <v>0</v>
      </c>
      <c r="G74" s="37">
        <f t="shared" si="2"/>
        <v>0</v>
      </c>
      <c r="H74" s="38" t="s">
        <v>152</v>
      </c>
      <c r="I74" s="39">
        <v>1800000</v>
      </c>
      <c r="J74" s="39">
        <v>1080000</v>
      </c>
      <c r="K74" s="41">
        <v>40638</v>
      </c>
      <c r="L74" s="41">
        <v>41002</v>
      </c>
      <c r="M74" s="38" t="s">
        <v>26</v>
      </c>
      <c r="N74" s="42" t="s">
        <v>68</v>
      </c>
    </row>
    <row r="75" spans="1:14" s="4" customFormat="1" ht="49.5" customHeight="1">
      <c r="A75" s="35">
        <f t="shared" si="3"/>
        <v>73</v>
      </c>
      <c r="B75" s="36" t="s">
        <v>153</v>
      </c>
      <c r="C75" s="36" t="s">
        <v>154</v>
      </c>
      <c r="D75" s="36" t="s">
        <v>155</v>
      </c>
      <c r="E75" s="37">
        <v>0</v>
      </c>
      <c r="F75" s="37">
        <v>0</v>
      </c>
      <c r="G75" s="37">
        <f t="shared" si="2"/>
        <v>0</v>
      </c>
      <c r="H75" s="38" t="s">
        <v>156</v>
      </c>
      <c r="I75" s="39">
        <v>5860725</v>
      </c>
      <c r="J75" s="39">
        <v>5860725</v>
      </c>
      <c r="K75" s="41">
        <v>38884</v>
      </c>
      <c r="L75" s="41">
        <v>40451</v>
      </c>
      <c r="M75" s="38" t="s">
        <v>26</v>
      </c>
      <c r="N75" s="42" t="s">
        <v>27</v>
      </c>
    </row>
    <row r="76" spans="1:14" s="4" customFormat="1" ht="49.5" customHeight="1">
      <c r="A76" s="35">
        <f t="shared" si="3"/>
        <v>74</v>
      </c>
      <c r="B76" s="36" t="s">
        <v>153</v>
      </c>
      <c r="C76" s="36" t="s">
        <v>154</v>
      </c>
      <c r="D76" s="36" t="s">
        <v>157</v>
      </c>
      <c r="E76" s="37">
        <f>723449.59+353122.79+112433.15+134435.75+243087.79</f>
        <v>1566529.0699999998</v>
      </c>
      <c r="F76" s="37">
        <v>0</v>
      </c>
      <c r="G76" s="37">
        <f t="shared" si="2"/>
        <v>1566529.0699999998</v>
      </c>
      <c r="H76" s="38" t="s">
        <v>158</v>
      </c>
      <c r="I76" s="39">
        <v>4900000</v>
      </c>
      <c r="J76" s="39">
        <f>571422.36+2000142.18</f>
        <v>2571564.54</v>
      </c>
      <c r="K76" s="41">
        <v>39447</v>
      </c>
      <c r="L76" s="41">
        <v>40482</v>
      </c>
      <c r="M76" s="38" t="s">
        <v>159</v>
      </c>
      <c r="N76" s="42" t="s">
        <v>27</v>
      </c>
    </row>
    <row r="77" spans="1:14" s="4" customFormat="1" ht="49.5" customHeight="1">
      <c r="A77" s="35">
        <f t="shared" si="3"/>
        <v>75</v>
      </c>
      <c r="B77" s="36" t="s">
        <v>153</v>
      </c>
      <c r="C77" s="36" t="s">
        <v>154</v>
      </c>
      <c r="D77" s="36" t="s">
        <v>160</v>
      </c>
      <c r="E77" s="37">
        <v>0</v>
      </c>
      <c r="F77" s="37">
        <v>0</v>
      </c>
      <c r="G77" s="37">
        <f t="shared" si="2"/>
        <v>0</v>
      </c>
      <c r="H77" s="38" t="s">
        <v>161</v>
      </c>
      <c r="I77" s="39">
        <v>8195570</v>
      </c>
      <c r="J77" s="39">
        <f>827000+110901.25+287371.7</f>
        <v>1225272.95</v>
      </c>
      <c r="K77" s="41">
        <v>39447</v>
      </c>
      <c r="L77" s="41">
        <v>40471</v>
      </c>
      <c r="M77" s="38" t="s">
        <v>159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153</v>
      </c>
      <c r="C78" s="36" t="s">
        <v>162</v>
      </c>
      <c r="D78" s="36" t="s">
        <v>163</v>
      </c>
      <c r="E78" s="37">
        <v>0</v>
      </c>
      <c r="F78" s="37">
        <v>0</v>
      </c>
      <c r="G78" s="37">
        <f t="shared" si="2"/>
        <v>0</v>
      </c>
      <c r="H78" s="38" t="s">
        <v>164</v>
      </c>
      <c r="I78" s="39">
        <v>394200</v>
      </c>
      <c r="J78" s="39">
        <v>394200</v>
      </c>
      <c r="K78" s="41">
        <v>40528</v>
      </c>
      <c r="L78" s="41">
        <v>41455</v>
      </c>
      <c r="M78" s="38" t="s">
        <v>26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153</v>
      </c>
      <c r="C79" s="36" t="s">
        <v>162</v>
      </c>
      <c r="D79" s="36" t="s">
        <v>165</v>
      </c>
      <c r="E79" s="37">
        <v>57311.33</v>
      </c>
      <c r="F79" s="37">
        <v>0</v>
      </c>
      <c r="G79" s="37">
        <f t="shared" si="2"/>
        <v>57311.33</v>
      </c>
      <c r="H79" s="38" t="s">
        <v>166</v>
      </c>
      <c r="I79" s="39">
        <v>255740</v>
      </c>
      <c r="J79" s="39">
        <v>86491.27</v>
      </c>
      <c r="K79" s="41">
        <v>40528</v>
      </c>
      <c r="L79" s="41">
        <v>41455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153</v>
      </c>
      <c r="C80" s="36" t="s">
        <v>162</v>
      </c>
      <c r="D80" s="36" t="s">
        <v>167</v>
      </c>
      <c r="E80" s="37">
        <v>0</v>
      </c>
      <c r="F80" s="37">
        <v>0</v>
      </c>
      <c r="G80" s="37">
        <f t="shared" si="2"/>
        <v>0</v>
      </c>
      <c r="H80" s="38" t="s">
        <v>168</v>
      </c>
      <c r="I80" s="39">
        <v>295300</v>
      </c>
      <c r="J80" s="39">
        <v>103414.06</v>
      </c>
      <c r="K80" s="41">
        <v>40528</v>
      </c>
      <c r="L80" s="41">
        <v>41455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153</v>
      </c>
      <c r="C81" s="36" t="s">
        <v>162</v>
      </c>
      <c r="D81" s="36" t="s">
        <v>169</v>
      </c>
      <c r="E81" s="37">
        <v>0</v>
      </c>
      <c r="F81" s="37">
        <v>0</v>
      </c>
      <c r="G81" s="37">
        <f t="shared" si="2"/>
        <v>0</v>
      </c>
      <c r="H81" s="38" t="s">
        <v>170</v>
      </c>
      <c r="I81" s="39">
        <v>245850</v>
      </c>
      <c r="J81" s="39">
        <v>85383.7</v>
      </c>
      <c r="K81" s="41">
        <v>40528</v>
      </c>
      <c r="L81" s="41">
        <v>41455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153</v>
      </c>
      <c r="C82" s="36" t="s">
        <v>327</v>
      </c>
      <c r="D82" s="36" t="s">
        <v>328</v>
      </c>
      <c r="E82" s="37">
        <v>68883.6</v>
      </c>
      <c r="F82" s="37">
        <v>0</v>
      </c>
      <c r="G82" s="37">
        <f t="shared" si="2"/>
        <v>68883.6</v>
      </c>
      <c r="H82" s="38" t="s">
        <v>329</v>
      </c>
      <c r="I82" s="39">
        <v>145324.06</v>
      </c>
      <c r="J82" s="39">
        <v>0</v>
      </c>
      <c r="K82" s="41">
        <v>40529</v>
      </c>
      <c r="L82" s="41">
        <v>41363</v>
      </c>
      <c r="M82" s="38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153</v>
      </c>
      <c r="C83" s="36" t="s">
        <v>304</v>
      </c>
      <c r="D83" s="36" t="s">
        <v>305</v>
      </c>
      <c r="E83" s="37">
        <v>200000</v>
      </c>
      <c r="F83" s="37">
        <v>0</v>
      </c>
      <c r="G83" s="37">
        <f t="shared" si="2"/>
        <v>200000</v>
      </c>
      <c r="H83" s="38" t="s">
        <v>306</v>
      </c>
      <c r="I83" s="39">
        <v>400000</v>
      </c>
      <c r="J83" s="39">
        <v>0</v>
      </c>
      <c r="K83" s="41">
        <v>40529</v>
      </c>
      <c r="L83" s="41">
        <v>41273</v>
      </c>
      <c r="M83" s="38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171</v>
      </c>
      <c r="C84" s="36" t="s">
        <v>172</v>
      </c>
      <c r="D84" s="36" t="s">
        <v>173</v>
      </c>
      <c r="E84" s="37">
        <v>47677.5</v>
      </c>
      <c r="F84" s="37">
        <v>0</v>
      </c>
      <c r="G84" s="37">
        <f t="shared" si="2"/>
        <v>47677.5</v>
      </c>
      <c r="H84" s="38" t="s">
        <v>174</v>
      </c>
      <c r="I84" s="39">
        <v>97500</v>
      </c>
      <c r="J84" s="39">
        <v>48750</v>
      </c>
      <c r="K84" s="41">
        <v>40057</v>
      </c>
      <c r="L84" s="41">
        <v>40452</v>
      </c>
      <c r="M84" s="38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175</v>
      </c>
      <c r="C85" s="36" t="s">
        <v>176</v>
      </c>
      <c r="D85" s="36" t="s">
        <v>177</v>
      </c>
      <c r="E85" s="37">
        <v>0</v>
      </c>
      <c r="F85" s="37">
        <v>0</v>
      </c>
      <c r="G85" s="37">
        <f t="shared" si="2"/>
        <v>0</v>
      </c>
      <c r="H85" s="38" t="s">
        <v>178</v>
      </c>
      <c r="I85" s="39">
        <v>146250</v>
      </c>
      <c r="J85" s="39">
        <v>146250</v>
      </c>
      <c r="K85" s="41">
        <v>39812</v>
      </c>
      <c r="L85" s="41">
        <v>40663</v>
      </c>
      <c r="M85" s="38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175</v>
      </c>
      <c r="C86" s="36" t="s">
        <v>176</v>
      </c>
      <c r="D86" s="36" t="s">
        <v>179</v>
      </c>
      <c r="E86" s="37">
        <v>0</v>
      </c>
      <c r="F86" s="37">
        <v>0</v>
      </c>
      <c r="G86" s="37">
        <f t="shared" si="2"/>
        <v>0</v>
      </c>
      <c r="H86" s="38" t="s">
        <v>180</v>
      </c>
      <c r="I86" s="39">
        <v>254104.34</v>
      </c>
      <c r="J86" s="39">
        <v>254104.34</v>
      </c>
      <c r="K86" s="41">
        <v>40361</v>
      </c>
      <c r="L86" s="41">
        <v>40723</v>
      </c>
      <c r="M86" s="38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36" t="s">
        <v>182</v>
      </c>
      <c r="D87" s="36" t="s">
        <v>236</v>
      </c>
      <c r="E87" s="37">
        <f>24192.64+24192.64</f>
        <v>48385.28</v>
      </c>
      <c r="F87" s="37">
        <v>0</v>
      </c>
      <c r="G87" s="37">
        <f t="shared" si="2"/>
        <v>48385.28</v>
      </c>
      <c r="H87" s="38" t="s">
        <v>307</v>
      </c>
      <c r="I87" s="39">
        <v>72000</v>
      </c>
      <c r="J87" s="39">
        <v>71997.99</v>
      </c>
      <c r="K87" s="41">
        <v>40544</v>
      </c>
      <c r="L87" s="41" t="s">
        <v>67</v>
      </c>
      <c r="M87" s="38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36" t="s">
        <v>185</v>
      </c>
      <c r="D88" s="36" t="s">
        <v>237</v>
      </c>
      <c r="E88" s="37">
        <f>25000+25000+25000+7954.57</f>
        <v>82954.57</v>
      </c>
      <c r="F88" s="37">
        <v>0</v>
      </c>
      <c r="G88" s="37">
        <f t="shared" si="2"/>
        <v>82954.57</v>
      </c>
      <c r="H88" s="38" t="s">
        <v>308</v>
      </c>
      <c r="I88" s="39">
        <v>105000</v>
      </c>
      <c r="J88" s="39">
        <v>82954.57</v>
      </c>
      <c r="K88" s="41">
        <v>40544</v>
      </c>
      <c r="L88" s="41" t="s">
        <v>67</v>
      </c>
      <c r="M88" s="38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36" t="s">
        <v>188</v>
      </c>
      <c r="D89" s="36" t="s">
        <v>189</v>
      </c>
      <c r="E89" s="37">
        <v>500000</v>
      </c>
      <c r="F89" s="37">
        <v>0</v>
      </c>
      <c r="G89" s="37">
        <f t="shared" si="2"/>
        <v>500000</v>
      </c>
      <c r="H89" s="38" t="s">
        <v>309</v>
      </c>
      <c r="I89" s="39">
        <v>2000000</v>
      </c>
      <c r="J89" s="39">
        <f>200000+1300000</f>
        <v>1500000</v>
      </c>
      <c r="K89" s="41">
        <v>40057</v>
      </c>
      <c r="L89" s="41" t="s">
        <v>67</v>
      </c>
      <c r="M89" s="38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36" t="s">
        <v>191</v>
      </c>
      <c r="D90" s="36" t="s">
        <v>250</v>
      </c>
      <c r="E90" s="37">
        <f>8800+17600+8800+8800+8800+8800+8800+8800+8800+8800</f>
        <v>96800</v>
      </c>
      <c r="F90" s="37">
        <v>0</v>
      </c>
      <c r="G90" s="37">
        <f t="shared" si="2"/>
        <v>96800</v>
      </c>
      <c r="H90" s="38" t="s">
        <v>310</v>
      </c>
      <c r="I90" s="39">
        <v>105600</v>
      </c>
      <c r="J90" s="39">
        <v>88000</v>
      </c>
      <c r="K90" s="41">
        <v>40544</v>
      </c>
      <c r="L90" s="41" t="s">
        <v>67</v>
      </c>
      <c r="M90" s="38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36" t="s">
        <v>311</v>
      </c>
      <c r="D91" s="36" t="s">
        <v>312</v>
      </c>
      <c r="E91" s="37">
        <f>160000+40000+40000+40000</f>
        <v>280000</v>
      </c>
      <c r="F91" s="37">
        <v>0</v>
      </c>
      <c r="G91" s="37">
        <f t="shared" si="2"/>
        <v>280000</v>
      </c>
      <c r="H91" s="38" t="s">
        <v>310</v>
      </c>
      <c r="I91" s="39">
        <v>480000</v>
      </c>
      <c r="J91" s="39">
        <v>0</v>
      </c>
      <c r="K91" s="41">
        <v>40909</v>
      </c>
      <c r="L91" s="41" t="s">
        <v>67</v>
      </c>
      <c r="M91" s="38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36" t="s">
        <v>194</v>
      </c>
      <c r="D92" s="36" t="s">
        <v>251</v>
      </c>
      <c r="E92" s="37">
        <f>96652.2+32217.4+32217.4+64434.8+32217.4+32217.4+32217.4</f>
        <v>322174</v>
      </c>
      <c r="F92" s="37">
        <v>0</v>
      </c>
      <c r="G92" s="37">
        <f t="shared" si="2"/>
        <v>322174</v>
      </c>
      <c r="H92" s="38" t="s">
        <v>196</v>
      </c>
      <c r="I92" s="39">
        <v>386608.8</v>
      </c>
      <c r="J92" s="39">
        <v>354391.4</v>
      </c>
      <c r="K92" s="41">
        <v>40544</v>
      </c>
      <c r="L92" s="41" t="s">
        <v>67</v>
      </c>
      <c r="M92" s="38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36" t="s">
        <v>185</v>
      </c>
      <c r="D93" s="36" t="s">
        <v>197</v>
      </c>
      <c r="E93" s="37">
        <f>36000+36000</f>
        <v>72000</v>
      </c>
      <c r="F93" s="37">
        <v>0</v>
      </c>
      <c r="G93" s="37">
        <f t="shared" si="2"/>
        <v>72000</v>
      </c>
      <c r="H93" s="38" t="s">
        <v>184</v>
      </c>
      <c r="I93" s="39">
        <v>36000</v>
      </c>
      <c r="J93" s="39">
        <v>0</v>
      </c>
      <c r="K93" s="41">
        <v>40544</v>
      </c>
      <c r="L93" s="41" t="s">
        <v>67</v>
      </c>
      <c r="M93" s="38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185</v>
      </c>
      <c r="D94" s="36" t="s">
        <v>198</v>
      </c>
      <c r="E94" s="37">
        <f>4407.62+71493.36+72156.88+23104.62+72156.88</f>
        <v>243319.36</v>
      </c>
      <c r="F94" s="37">
        <v>0</v>
      </c>
      <c r="G94" s="37">
        <f t="shared" si="2"/>
        <v>243319.36</v>
      </c>
      <c r="H94" s="44" t="s">
        <v>184</v>
      </c>
      <c r="I94" s="45">
        <v>245000</v>
      </c>
      <c r="J94" s="45">
        <v>237337.58</v>
      </c>
      <c r="K94" s="41">
        <v>40544</v>
      </c>
      <c r="L94" s="41" t="s">
        <v>67</v>
      </c>
      <c r="M94" s="46" t="s">
        <v>26</v>
      </c>
      <c r="N94" s="42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36" t="s">
        <v>199</v>
      </c>
      <c r="D95" s="36" t="s">
        <v>200</v>
      </c>
      <c r="E95" s="37">
        <v>0</v>
      </c>
      <c r="F95" s="37">
        <v>0</v>
      </c>
      <c r="G95" s="37">
        <f t="shared" si="2"/>
        <v>0</v>
      </c>
      <c r="H95" s="44" t="s">
        <v>201</v>
      </c>
      <c r="I95" s="45">
        <v>95000</v>
      </c>
      <c r="J95" s="45">
        <v>95000</v>
      </c>
      <c r="K95" s="41">
        <v>40483</v>
      </c>
      <c r="L95" s="41" t="s">
        <v>67</v>
      </c>
      <c r="M95" s="46" t="s">
        <v>26</v>
      </c>
      <c r="N95" s="42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36" t="s">
        <v>199</v>
      </c>
      <c r="D96" s="36" t="s">
        <v>202</v>
      </c>
      <c r="E96" s="37">
        <v>0</v>
      </c>
      <c r="F96" s="37">
        <v>0</v>
      </c>
      <c r="G96" s="37">
        <f t="shared" si="2"/>
        <v>0</v>
      </c>
      <c r="H96" s="44" t="s">
        <v>201</v>
      </c>
      <c r="I96" s="45">
        <v>30000</v>
      </c>
      <c r="J96" s="45">
        <v>30000</v>
      </c>
      <c r="K96" s="41">
        <v>40483</v>
      </c>
      <c r="L96" s="41" t="s">
        <v>67</v>
      </c>
      <c r="M96" s="46" t="s">
        <v>26</v>
      </c>
      <c r="N96" s="42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36" t="s">
        <v>199</v>
      </c>
      <c r="D97" s="36" t="s">
        <v>203</v>
      </c>
      <c r="E97" s="37">
        <v>1950</v>
      </c>
      <c r="F97" s="37">
        <v>0</v>
      </c>
      <c r="G97" s="37">
        <f t="shared" si="2"/>
        <v>1950</v>
      </c>
      <c r="H97" s="44" t="s">
        <v>201</v>
      </c>
      <c r="I97" s="45">
        <v>1950</v>
      </c>
      <c r="J97" s="45">
        <v>0</v>
      </c>
      <c r="K97" s="41">
        <v>40878</v>
      </c>
      <c r="L97" s="41" t="s">
        <v>67</v>
      </c>
      <c r="M97" s="46" t="s">
        <v>26</v>
      </c>
      <c r="N97" s="42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36" t="s">
        <v>204</v>
      </c>
      <c r="D98" s="36" t="s">
        <v>205</v>
      </c>
      <c r="E98" s="37">
        <v>0</v>
      </c>
      <c r="F98" s="37">
        <v>0</v>
      </c>
      <c r="G98" s="37">
        <f t="shared" si="2"/>
        <v>0</v>
      </c>
      <c r="H98" s="44" t="s">
        <v>206</v>
      </c>
      <c r="I98" s="45">
        <v>266666.7</v>
      </c>
      <c r="J98" s="37">
        <v>26666.67</v>
      </c>
      <c r="K98" s="41">
        <v>40544</v>
      </c>
      <c r="L98" s="41" t="s">
        <v>67</v>
      </c>
      <c r="M98" s="46" t="s">
        <v>26</v>
      </c>
      <c r="N98" s="42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36" t="s">
        <v>204</v>
      </c>
      <c r="D99" s="36" t="s">
        <v>207</v>
      </c>
      <c r="E99" s="37">
        <v>0</v>
      </c>
      <c r="F99" s="37">
        <v>0</v>
      </c>
      <c r="G99" s="37">
        <f t="shared" si="2"/>
        <v>0</v>
      </c>
      <c r="H99" s="44" t="s">
        <v>208</v>
      </c>
      <c r="I99" s="45">
        <v>200000</v>
      </c>
      <c r="J99" s="37">
        <v>20000</v>
      </c>
      <c r="K99" s="41">
        <v>40544</v>
      </c>
      <c r="L99" s="41" t="s">
        <v>67</v>
      </c>
      <c r="M99" s="46" t="s">
        <v>26</v>
      </c>
      <c r="N99" s="42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36" t="s">
        <v>204</v>
      </c>
      <c r="D100" s="36" t="s">
        <v>209</v>
      </c>
      <c r="E100" s="37">
        <v>0</v>
      </c>
      <c r="F100" s="37">
        <v>0</v>
      </c>
      <c r="G100" s="37">
        <f t="shared" si="2"/>
        <v>0</v>
      </c>
      <c r="H100" s="44" t="s">
        <v>210</v>
      </c>
      <c r="I100" s="45">
        <v>400000</v>
      </c>
      <c r="J100" s="37">
        <v>40000</v>
      </c>
      <c r="K100" s="41">
        <v>40544</v>
      </c>
      <c r="L100" s="41" t="s">
        <v>67</v>
      </c>
      <c r="M100" s="46" t="s">
        <v>26</v>
      </c>
      <c r="N100" s="42" t="s">
        <v>27</v>
      </c>
    </row>
    <row r="101" spans="1:14" s="4" customFormat="1" ht="49.5" customHeight="1">
      <c r="A101" s="35">
        <f t="shared" si="3"/>
        <v>99</v>
      </c>
      <c r="B101" s="36" t="s">
        <v>181</v>
      </c>
      <c r="C101" s="36" t="s">
        <v>204</v>
      </c>
      <c r="D101" s="36" t="s">
        <v>211</v>
      </c>
      <c r="E101" s="37">
        <v>0</v>
      </c>
      <c r="F101" s="37">
        <v>0</v>
      </c>
      <c r="G101" s="37">
        <f t="shared" si="2"/>
        <v>0</v>
      </c>
      <c r="H101" s="44" t="s">
        <v>212</v>
      </c>
      <c r="I101" s="45">
        <v>200000</v>
      </c>
      <c r="J101" s="37">
        <v>20000</v>
      </c>
      <c r="K101" s="41">
        <v>40544</v>
      </c>
      <c r="L101" s="41" t="s">
        <v>67</v>
      </c>
      <c r="M101" s="46" t="s">
        <v>26</v>
      </c>
      <c r="N101" s="42" t="s">
        <v>27</v>
      </c>
    </row>
    <row r="102" spans="1:14" s="4" customFormat="1" ht="49.5" customHeight="1">
      <c r="A102" s="35">
        <f t="shared" si="3"/>
        <v>100</v>
      </c>
      <c r="B102" s="36" t="s">
        <v>181</v>
      </c>
      <c r="C102" s="36" t="s">
        <v>204</v>
      </c>
      <c r="D102" s="36" t="s">
        <v>213</v>
      </c>
      <c r="E102" s="37">
        <v>0</v>
      </c>
      <c r="F102" s="37">
        <v>0</v>
      </c>
      <c r="G102" s="37">
        <f t="shared" si="2"/>
        <v>0</v>
      </c>
      <c r="H102" s="44" t="s">
        <v>214</v>
      </c>
      <c r="I102" s="45">
        <v>200000</v>
      </c>
      <c r="J102" s="37">
        <v>20000</v>
      </c>
      <c r="K102" s="41">
        <v>40544</v>
      </c>
      <c r="L102" s="41" t="s">
        <v>67</v>
      </c>
      <c r="M102" s="46" t="s">
        <v>26</v>
      </c>
      <c r="N102" s="42" t="s">
        <v>27</v>
      </c>
    </row>
    <row r="103" spans="1:14" s="4" customFormat="1" ht="49.5" customHeight="1">
      <c r="A103" s="35">
        <f t="shared" si="3"/>
        <v>101</v>
      </c>
      <c r="B103" s="36" t="s">
        <v>181</v>
      </c>
      <c r="C103" s="36" t="s">
        <v>252</v>
      </c>
      <c r="D103" s="36" t="s">
        <v>253</v>
      </c>
      <c r="E103" s="37">
        <v>36000</v>
      </c>
      <c r="F103" s="37">
        <v>0</v>
      </c>
      <c r="G103" s="37">
        <f t="shared" si="2"/>
        <v>36000</v>
      </c>
      <c r="H103" s="44" t="s">
        <v>254</v>
      </c>
      <c r="I103" s="45">
        <v>180000</v>
      </c>
      <c r="J103" s="37">
        <v>0</v>
      </c>
      <c r="K103" s="41">
        <v>40909</v>
      </c>
      <c r="L103" s="41" t="s">
        <v>67</v>
      </c>
      <c r="M103" s="46" t="s">
        <v>26</v>
      </c>
      <c r="N103" s="42" t="s">
        <v>27</v>
      </c>
    </row>
    <row r="104" spans="1:14" s="4" customFormat="1" ht="49.5" customHeight="1">
      <c r="A104" s="35">
        <f t="shared" si="3"/>
        <v>102</v>
      </c>
      <c r="B104" s="36" t="s">
        <v>181</v>
      </c>
      <c r="C104" s="36" t="s">
        <v>286</v>
      </c>
      <c r="D104" s="36" t="s">
        <v>287</v>
      </c>
      <c r="E104" s="37">
        <v>14070</v>
      </c>
      <c r="F104" s="37">
        <v>0</v>
      </c>
      <c r="G104" s="37">
        <f t="shared" si="2"/>
        <v>14070</v>
      </c>
      <c r="H104" s="44" t="s">
        <v>288</v>
      </c>
      <c r="I104" s="45">
        <v>70350</v>
      </c>
      <c r="J104" s="37">
        <v>0</v>
      </c>
      <c r="K104" s="41">
        <v>41085</v>
      </c>
      <c r="L104" s="41">
        <v>41639</v>
      </c>
      <c r="M104" s="46" t="s">
        <v>26</v>
      </c>
      <c r="N104" s="42" t="s">
        <v>27</v>
      </c>
    </row>
    <row r="105" spans="1:14" s="4" customFormat="1" ht="49.5" customHeight="1" thickBot="1">
      <c r="A105" s="48">
        <f t="shared" si="3"/>
        <v>103</v>
      </c>
      <c r="B105" s="49" t="s">
        <v>181</v>
      </c>
      <c r="C105" s="49" t="s">
        <v>286</v>
      </c>
      <c r="D105" s="49" t="s">
        <v>289</v>
      </c>
      <c r="E105" s="50">
        <v>25905</v>
      </c>
      <c r="F105" s="50">
        <v>0</v>
      </c>
      <c r="G105" s="50">
        <f t="shared" si="2"/>
        <v>25905</v>
      </c>
      <c r="H105" s="51" t="s">
        <v>290</v>
      </c>
      <c r="I105" s="52">
        <v>129525</v>
      </c>
      <c r="J105" s="50">
        <v>0</v>
      </c>
      <c r="K105" s="54">
        <v>41085</v>
      </c>
      <c r="L105" s="54">
        <v>41639</v>
      </c>
      <c r="M105" s="55" t="s">
        <v>26</v>
      </c>
      <c r="N105" s="56" t="s">
        <v>27</v>
      </c>
    </row>
    <row r="106" spans="1:14" s="4" customFormat="1" ht="49.5" customHeight="1" thickBot="1" thickTop="1">
      <c r="A106" s="9"/>
      <c r="B106" s="10"/>
      <c r="C106" s="10"/>
      <c r="D106" s="71" t="s">
        <v>215</v>
      </c>
      <c r="E106" s="72">
        <f>SUM(E3:E105)</f>
        <v>14507602.18</v>
      </c>
      <c r="F106" s="72">
        <f>SUM(F3:F105)</f>
        <v>0</v>
      </c>
      <c r="G106" s="73">
        <f>SUM(G3:G105)</f>
        <v>14507602.18</v>
      </c>
      <c r="H106" s="10"/>
      <c r="I106" s="10"/>
      <c r="J106" s="10"/>
      <c r="K106" s="10"/>
      <c r="L106" s="11"/>
      <c r="M106" s="10"/>
      <c r="N106" s="12"/>
    </row>
    <row r="107" ht="13.5" thickTop="1"/>
    <row r="108" spans="1:14" s="15" customFormat="1" ht="12.75">
      <c r="A108" s="13"/>
      <c r="B108" s="14"/>
      <c r="C108" s="14"/>
      <c r="D108" s="25" t="s">
        <v>332</v>
      </c>
      <c r="E108" s="25"/>
      <c r="F108" s="25"/>
      <c r="G108" s="25"/>
      <c r="K108" s="14"/>
      <c r="L108" s="16"/>
      <c r="M108" s="14"/>
      <c r="N108" s="17"/>
    </row>
    <row r="109" spans="2:13" s="15" customFormat="1" ht="12.75">
      <c r="B109" s="22"/>
      <c r="C109" s="22"/>
      <c r="E109" s="22"/>
      <c r="F109" s="22"/>
      <c r="G109" s="22"/>
      <c r="K109" s="22"/>
      <c r="L109" s="22"/>
      <c r="M109" s="22"/>
    </row>
    <row r="110" spans="1:14" s="15" customFormat="1" ht="12.75">
      <c r="A110" s="20"/>
      <c r="B110" s="24" t="s">
        <v>221</v>
      </c>
      <c r="C110" s="24"/>
      <c r="E110" s="23" t="s">
        <v>222</v>
      </c>
      <c r="F110" s="23"/>
      <c r="G110" s="23"/>
      <c r="K110" s="23" t="s">
        <v>223</v>
      </c>
      <c r="L110" s="23"/>
      <c r="M110" s="23"/>
      <c r="N110" s="19"/>
    </row>
    <row r="111" spans="1:14" s="15" customFormat="1" ht="12.75">
      <c r="A111" s="21"/>
      <c r="B111" s="18" t="s">
        <v>224</v>
      </c>
      <c r="C111" s="18"/>
      <c r="E111" s="18" t="s">
        <v>225</v>
      </c>
      <c r="F111" s="18"/>
      <c r="G111" s="18"/>
      <c r="K111" s="18" t="s">
        <v>226</v>
      </c>
      <c r="L111" s="18"/>
      <c r="M111" s="18"/>
      <c r="N111" s="19"/>
    </row>
  </sheetData>
  <sheetProtection selectLockedCells="1" selectUnlockedCells="1"/>
  <mergeCells count="11">
    <mergeCell ref="B111:C111"/>
    <mergeCell ref="E111:G111"/>
    <mergeCell ref="K111:M111"/>
    <mergeCell ref="A1:N1"/>
    <mergeCell ref="D108:G108"/>
    <mergeCell ref="B109:C109"/>
    <mergeCell ref="E109:G109"/>
    <mergeCell ref="K109:M109"/>
    <mergeCell ref="B110:C110"/>
    <mergeCell ref="E110:G110"/>
    <mergeCell ref="K110:M110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39" max="13" man="1"/>
    <brk id="54" max="13" man="1"/>
    <brk id="8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333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80" t="s">
        <v>315</v>
      </c>
      <c r="C3" s="80" t="s">
        <v>316</v>
      </c>
      <c r="D3" s="80" t="s">
        <v>317</v>
      </c>
      <c r="E3" s="28">
        <v>1063.57</v>
      </c>
      <c r="F3" s="28">
        <v>0</v>
      </c>
      <c r="G3" s="28">
        <f aca="true" t="shared" si="0" ref="G3:G66">E3+F3</f>
        <v>1063.57</v>
      </c>
      <c r="H3" s="29" t="s">
        <v>318</v>
      </c>
      <c r="I3" s="30">
        <f>G3</f>
        <v>1063.57</v>
      </c>
      <c r="J3" s="28">
        <v>0</v>
      </c>
      <c r="K3" s="32">
        <v>38681</v>
      </c>
      <c r="L3" s="32">
        <v>41274</v>
      </c>
      <c r="M3" s="33" t="s">
        <v>319</v>
      </c>
      <c r="N3" s="34" t="s">
        <v>68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10</v>
      </c>
      <c r="D4" s="36" t="s">
        <v>11</v>
      </c>
      <c r="E4" s="37">
        <v>8415</v>
      </c>
      <c r="F4" s="37">
        <v>0</v>
      </c>
      <c r="G4" s="37">
        <f t="shared" si="0"/>
        <v>8415</v>
      </c>
      <c r="H4" s="44" t="s">
        <v>12</v>
      </c>
      <c r="I4" s="45">
        <f>12*8415</f>
        <v>100980</v>
      </c>
      <c r="J4" s="37">
        <f>25245+16830+8415+33660+8415</f>
        <v>92565</v>
      </c>
      <c r="K4" s="41">
        <v>40545</v>
      </c>
      <c r="L4" s="41">
        <v>40908</v>
      </c>
      <c r="M4" s="38" t="s">
        <v>13</v>
      </c>
      <c r="N4" s="42" t="s">
        <v>294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15</v>
      </c>
      <c r="D5" s="36" t="s">
        <v>11</v>
      </c>
      <c r="E5" s="37">
        <v>7150</v>
      </c>
      <c r="F5" s="37">
        <v>0</v>
      </c>
      <c r="G5" s="37">
        <f t="shared" si="0"/>
        <v>7150</v>
      </c>
      <c r="H5" s="38" t="s">
        <v>16</v>
      </c>
      <c r="I5" s="39">
        <f>7150*12</f>
        <v>85800</v>
      </c>
      <c r="J5" s="37">
        <f>21450+14300+7150+28600+7150</f>
        <v>78650</v>
      </c>
      <c r="K5" s="41">
        <v>40545</v>
      </c>
      <c r="L5" s="41">
        <v>40908</v>
      </c>
      <c r="M5" s="38" t="s">
        <v>13</v>
      </c>
      <c r="N5" s="42" t="s">
        <v>294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10</v>
      </c>
      <c r="D6" s="36" t="s">
        <v>11</v>
      </c>
      <c r="E6" s="37">
        <f>33660+16830+8415+16830+8415</f>
        <v>84150</v>
      </c>
      <c r="F6" s="37">
        <v>0</v>
      </c>
      <c r="G6" s="37">
        <f t="shared" si="0"/>
        <v>84150</v>
      </c>
      <c r="H6" s="44" t="s">
        <v>12</v>
      </c>
      <c r="I6" s="45">
        <f>12*8415</f>
        <v>100980</v>
      </c>
      <c r="J6" s="37">
        <v>0</v>
      </c>
      <c r="K6" s="41">
        <v>40910</v>
      </c>
      <c r="L6" s="41">
        <v>41274</v>
      </c>
      <c r="M6" s="38" t="s">
        <v>285</v>
      </c>
      <c r="N6" s="42" t="s">
        <v>294</v>
      </c>
    </row>
    <row r="7" spans="1:14" s="4" customFormat="1" ht="49.5" customHeight="1">
      <c r="A7" s="35">
        <f t="shared" si="1"/>
        <v>5</v>
      </c>
      <c r="B7" s="36" t="s">
        <v>9</v>
      </c>
      <c r="C7" s="36" t="s">
        <v>15</v>
      </c>
      <c r="D7" s="36" t="s">
        <v>11</v>
      </c>
      <c r="E7" s="37">
        <f>28600+14300+7150+14300+7150</f>
        <v>71500</v>
      </c>
      <c r="F7" s="37">
        <v>0</v>
      </c>
      <c r="G7" s="37">
        <f t="shared" si="0"/>
        <v>71500</v>
      </c>
      <c r="H7" s="38" t="s">
        <v>16</v>
      </c>
      <c r="I7" s="39">
        <f>7150*12</f>
        <v>85800</v>
      </c>
      <c r="J7" s="37">
        <v>0</v>
      </c>
      <c r="K7" s="41">
        <v>40910</v>
      </c>
      <c r="L7" s="41">
        <v>41274</v>
      </c>
      <c r="M7" s="38" t="s">
        <v>285</v>
      </c>
      <c r="N7" s="42" t="s">
        <v>294</v>
      </c>
    </row>
    <row r="8" spans="1:14" s="4" customFormat="1" ht="49.5" customHeight="1">
      <c r="A8" s="35">
        <f t="shared" si="1"/>
        <v>6</v>
      </c>
      <c r="B8" s="36" t="s">
        <v>9</v>
      </c>
      <c r="C8" s="36" t="s">
        <v>15</v>
      </c>
      <c r="D8" s="36" t="s">
        <v>334</v>
      </c>
      <c r="E8" s="37">
        <f>77792.4+12965.4+12965.4</f>
        <v>103723.19999999998</v>
      </c>
      <c r="F8" s="37">
        <v>0</v>
      </c>
      <c r="G8" s="37">
        <f t="shared" si="0"/>
        <v>103723.19999999998</v>
      </c>
      <c r="H8" s="38" t="s">
        <v>335</v>
      </c>
      <c r="I8" s="39">
        <v>129654</v>
      </c>
      <c r="J8" s="37">
        <v>0</v>
      </c>
      <c r="K8" s="41">
        <v>40910</v>
      </c>
      <c r="L8" s="41">
        <v>41274</v>
      </c>
      <c r="M8" s="38" t="s">
        <v>285</v>
      </c>
      <c r="N8" s="42" t="s">
        <v>294</v>
      </c>
    </row>
    <row r="9" spans="1:14" s="4" customFormat="1" ht="49.5" customHeight="1">
      <c r="A9" s="35">
        <f t="shared" si="1"/>
        <v>7</v>
      </c>
      <c r="B9" s="36" t="s">
        <v>295</v>
      </c>
      <c r="C9" s="36" t="s">
        <v>296</v>
      </c>
      <c r="D9" s="36" t="s">
        <v>297</v>
      </c>
      <c r="E9" s="37">
        <v>20000</v>
      </c>
      <c r="F9" s="37">
        <v>0</v>
      </c>
      <c r="G9" s="37">
        <f t="shared" si="0"/>
        <v>20000</v>
      </c>
      <c r="H9" s="38" t="s">
        <v>298</v>
      </c>
      <c r="I9" s="39">
        <v>20000</v>
      </c>
      <c r="J9" s="39">
        <v>0</v>
      </c>
      <c r="K9" s="41">
        <v>41086</v>
      </c>
      <c r="L9" s="41">
        <v>41274</v>
      </c>
      <c r="M9" s="38" t="s">
        <v>285</v>
      </c>
      <c r="N9" s="42" t="s">
        <v>68</v>
      </c>
    </row>
    <row r="10" spans="1:14" s="4" customFormat="1" ht="49.5" customHeight="1">
      <c r="A10" s="35">
        <f t="shared" si="1"/>
        <v>8</v>
      </c>
      <c r="B10" s="36" t="s">
        <v>17</v>
      </c>
      <c r="C10" s="36" t="s">
        <v>18</v>
      </c>
      <c r="D10" s="36" t="s">
        <v>19</v>
      </c>
      <c r="E10" s="37">
        <v>0</v>
      </c>
      <c r="F10" s="37">
        <v>0</v>
      </c>
      <c r="G10" s="37">
        <f t="shared" si="0"/>
        <v>0</v>
      </c>
      <c r="H10" s="38" t="s">
        <v>20</v>
      </c>
      <c r="I10" s="39">
        <v>2556407.93</v>
      </c>
      <c r="J10" s="37">
        <v>383461.19</v>
      </c>
      <c r="K10" s="41">
        <v>40142</v>
      </c>
      <c r="L10" s="41">
        <v>40872</v>
      </c>
      <c r="M10" s="38" t="s">
        <v>21</v>
      </c>
      <c r="N10" s="42" t="s">
        <v>22</v>
      </c>
    </row>
    <row r="11" spans="1:14" s="4" customFormat="1" ht="49.5" customHeight="1">
      <c r="A11" s="35">
        <f t="shared" si="1"/>
        <v>9</v>
      </c>
      <c r="B11" s="36" t="s">
        <v>17</v>
      </c>
      <c r="C11" s="36" t="s">
        <v>23</v>
      </c>
      <c r="D11" s="36" t="s">
        <v>24</v>
      </c>
      <c r="E11" s="37">
        <f>279227.1+279227.1+279227.1+279227.1+279227.1+325180.33+325180.33+325180.33+325180.33</f>
        <v>2696856.8200000003</v>
      </c>
      <c r="F11" s="37">
        <v>785941.7</v>
      </c>
      <c r="G11" s="37">
        <f t="shared" si="0"/>
        <v>3482798.5200000005</v>
      </c>
      <c r="H11" s="38" t="s">
        <v>25</v>
      </c>
      <c r="I11" s="39">
        <v>2792271</v>
      </c>
      <c r="J11" s="39">
        <f>279227.1+279227.1+279227.1+279227.1+279227.1</f>
        <v>1396135.5</v>
      </c>
      <c r="K11" s="41">
        <v>39995</v>
      </c>
      <c r="L11" s="41">
        <v>41820</v>
      </c>
      <c r="M11" s="38" t="s">
        <v>26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257</v>
      </c>
      <c r="C12" s="36" t="s">
        <v>258</v>
      </c>
      <c r="D12" s="36" t="s">
        <v>259</v>
      </c>
      <c r="E12" s="37">
        <f>196589+196589+196589+196589</f>
        <v>786356</v>
      </c>
      <c r="F12" s="37">
        <v>0</v>
      </c>
      <c r="G12" s="37">
        <f t="shared" si="0"/>
        <v>786356</v>
      </c>
      <c r="H12" s="38" t="s">
        <v>260</v>
      </c>
      <c r="I12" s="39">
        <f>4*196589</f>
        <v>786356</v>
      </c>
      <c r="J12" s="39">
        <v>0</v>
      </c>
      <c r="K12" s="41">
        <v>40957</v>
      </c>
      <c r="L12" s="41">
        <v>41688</v>
      </c>
      <c r="M12" s="38" t="s">
        <v>26</v>
      </c>
      <c r="N12" s="42" t="s">
        <v>68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30</v>
      </c>
      <c r="E13" s="37">
        <v>0</v>
      </c>
      <c r="F13" s="37">
        <v>0</v>
      </c>
      <c r="G13" s="37">
        <f t="shared" si="0"/>
        <v>0</v>
      </c>
      <c r="H13" s="38" t="s">
        <v>31</v>
      </c>
      <c r="I13" s="39">
        <v>273666.94</v>
      </c>
      <c r="J13" s="39">
        <v>273666.94</v>
      </c>
      <c r="K13" s="41">
        <v>40178</v>
      </c>
      <c r="L13" s="41">
        <v>40542</v>
      </c>
      <c r="M13" s="38" t="s">
        <v>32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33</v>
      </c>
      <c r="E14" s="37">
        <v>0</v>
      </c>
      <c r="F14" s="37">
        <v>0</v>
      </c>
      <c r="G14" s="37">
        <f t="shared" si="0"/>
        <v>0</v>
      </c>
      <c r="H14" s="44" t="s">
        <v>34</v>
      </c>
      <c r="I14" s="45">
        <v>1636649.08</v>
      </c>
      <c r="J14" s="45">
        <v>514958.82</v>
      </c>
      <c r="K14" s="41">
        <v>40176</v>
      </c>
      <c r="L14" s="41">
        <v>40722</v>
      </c>
      <c r="M14" s="38" t="s">
        <v>35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36</v>
      </c>
      <c r="E15" s="37">
        <v>516891.15</v>
      </c>
      <c r="F15" s="37">
        <v>0</v>
      </c>
      <c r="G15" s="37">
        <f t="shared" si="0"/>
        <v>516891.15</v>
      </c>
      <c r="H15" s="38" t="s">
        <v>37</v>
      </c>
      <c r="I15" s="39">
        <v>1492263.04</v>
      </c>
      <c r="J15" s="39">
        <v>517381.16</v>
      </c>
      <c r="K15" s="41">
        <v>40176</v>
      </c>
      <c r="L15" s="46">
        <v>40905</v>
      </c>
      <c r="M15" s="38" t="s">
        <v>38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39</v>
      </c>
      <c r="E16" s="37">
        <v>147662.4</v>
      </c>
      <c r="F16" s="37">
        <v>0</v>
      </c>
      <c r="G16" s="37">
        <f t="shared" si="0"/>
        <v>147662.4</v>
      </c>
      <c r="H16" s="38" t="s">
        <v>40</v>
      </c>
      <c r="I16" s="39">
        <v>322420.94</v>
      </c>
      <c r="J16" s="39">
        <v>174758.54</v>
      </c>
      <c r="K16" s="41">
        <v>40176</v>
      </c>
      <c r="L16" s="41">
        <v>40540</v>
      </c>
      <c r="M16" s="38" t="s">
        <v>32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41</v>
      </c>
      <c r="E17" s="37">
        <v>0</v>
      </c>
      <c r="F17" s="37">
        <v>0</v>
      </c>
      <c r="G17" s="37">
        <f t="shared" si="0"/>
        <v>0</v>
      </c>
      <c r="H17" s="38" t="s">
        <v>42</v>
      </c>
      <c r="I17" s="39">
        <v>851408.61</v>
      </c>
      <c r="J17" s="39">
        <f>588308.41+263100.2</f>
        <v>851408.6100000001</v>
      </c>
      <c r="K17" s="41">
        <v>38890</v>
      </c>
      <c r="L17" s="79">
        <v>40056</v>
      </c>
      <c r="M17" s="38" t="s">
        <v>26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43</v>
      </c>
      <c r="E18" s="37">
        <v>140800</v>
      </c>
      <c r="F18" s="37">
        <v>0</v>
      </c>
      <c r="G18" s="37">
        <f t="shared" si="0"/>
        <v>140800</v>
      </c>
      <c r="H18" s="38" t="s">
        <v>44</v>
      </c>
      <c r="I18" s="39">
        <v>352000</v>
      </c>
      <c r="J18" s="39">
        <v>211200</v>
      </c>
      <c r="K18" s="41">
        <v>39633</v>
      </c>
      <c r="L18" s="41">
        <v>39993</v>
      </c>
      <c r="M18" s="38" t="s">
        <v>35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45</v>
      </c>
      <c r="E19" s="37">
        <v>0</v>
      </c>
      <c r="F19" s="37">
        <v>0</v>
      </c>
      <c r="G19" s="37">
        <f t="shared" si="0"/>
        <v>0</v>
      </c>
      <c r="H19" s="38" t="s">
        <v>46</v>
      </c>
      <c r="I19" s="39">
        <v>516646.91</v>
      </c>
      <c r="J19" s="39">
        <v>437114.41</v>
      </c>
      <c r="K19" s="41">
        <v>40536</v>
      </c>
      <c r="L19" s="41">
        <v>40900</v>
      </c>
      <c r="M19" s="38" t="s">
        <v>26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47</v>
      </c>
      <c r="E20" s="37">
        <v>0</v>
      </c>
      <c r="F20" s="37">
        <v>0</v>
      </c>
      <c r="G20" s="37">
        <f t="shared" si="0"/>
        <v>0</v>
      </c>
      <c r="H20" s="38" t="s">
        <v>48</v>
      </c>
      <c r="I20" s="39">
        <v>100000</v>
      </c>
      <c r="J20" s="39">
        <v>100000</v>
      </c>
      <c r="K20" s="41">
        <v>40177</v>
      </c>
      <c r="L20" s="41">
        <v>40541</v>
      </c>
      <c r="M20" s="38" t="s">
        <v>32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28</v>
      </c>
      <c r="C21" s="36" t="s">
        <v>29</v>
      </c>
      <c r="D21" s="36" t="s">
        <v>49</v>
      </c>
      <c r="E21" s="37">
        <v>0</v>
      </c>
      <c r="F21" s="37">
        <v>0</v>
      </c>
      <c r="G21" s="37">
        <f t="shared" si="0"/>
        <v>0</v>
      </c>
      <c r="H21" s="38" t="s">
        <v>50</v>
      </c>
      <c r="I21" s="39">
        <v>202569.34</v>
      </c>
      <c r="J21" s="39">
        <v>202569.343</v>
      </c>
      <c r="K21" s="41">
        <v>40542</v>
      </c>
      <c r="L21" s="41">
        <v>40907</v>
      </c>
      <c r="M21" s="38" t="s">
        <v>26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28</v>
      </c>
      <c r="C22" s="36" t="s">
        <v>29</v>
      </c>
      <c r="D22" s="36" t="s">
        <v>51</v>
      </c>
      <c r="E22" s="37">
        <v>182038.38</v>
      </c>
      <c r="F22" s="37">
        <v>0</v>
      </c>
      <c r="G22" s="37">
        <f t="shared" si="0"/>
        <v>182038.38</v>
      </c>
      <c r="H22" s="38" t="s">
        <v>52</v>
      </c>
      <c r="I22" s="39">
        <v>3640767.5</v>
      </c>
      <c r="J22" s="39">
        <v>0</v>
      </c>
      <c r="K22" s="41">
        <v>40542</v>
      </c>
      <c r="L22" s="41">
        <v>42001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53</v>
      </c>
      <c r="C23" s="36" t="s">
        <v>29</v>
      </c>
      <c r="D23" s="36" t="s">
        <v>54</v>
      </c>
      <c r="E23" s="37">
        <v>771437.88</v>
      </c>
      <c r="F23" s="37">
        <v>0</v>
      </c>
      <c r="G23" s="37">
        <f t="shared" si="0"/>
        <v>771437.88</v>
      </c>
      <c r="H23" s="38" t="s">
        <v>55</v>
      </c>
      <c r="I23" s="39">
        <v>771437.88</v>
      </c>
      <c r="J23" s="39">
        <v>0</v>
      </c>
      <c r="K23" s="41">
        <v>40886</v>
      </c>
      <c r="L23" s="41">
        <v>41617</v>
      </c>
      <c r="M23" s="38" t="s">
        <v>35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53</v>
      </c>
      <c r="C24" s="36" t="s">
        <v>29</v>
      </c>
      <c r="D24" s="36" t="s">
        <v>56</v>
      </c>
      <c r="E24" s="37">
        <v>90000</v>
      </c>
      <c r="F24" s="37">
        <v>0</v>
      </c>
      <c r="G24" s="37">
        <f t="shared" si="0"/>
        <v>90000</v>
      </c>
      <c r="H24" s="38" t="s">
        <v>57</v>
      </c>
      <c r="I24" s="39">
        <v>3944386.94</v>
      </c>
      <c r="J24" s="39">
        <v>0</v>
      </c>
      <c r="K24" s="41">
        <v>40904</v>
      </c>
      <c r="L24" s="46">
        <v>42000</v>
      </c>
      <c r="M24" s="38" t="s">
        <v>35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28</v>
      </c>
      <c r="C25" s="36" t="s">
        <v>58</v>
      </c>
      <c r="D25" s="36" t="s">
        <v>59</v>
      </c>
      <c r="E25" s="37">
        <v>0</v>
      </c>
      <c r="F25" s="37">
        <v>0</v>
      </c>
      <c r="G25" s="37">
        <f t="shared" si="0"/>
        <v>0</v>
      </c>
      <c r="H25" s="44" t="s">
        <v>60</v>
      </c>
      <c r="I25" s="45">
        <v>250000</v>
      </c>
      <c r="J25" s="45">
        <v>250000</v>
      </c>
      <c r="K25" s="41">
        <v>40155</v>
      </c>
      <c r="L25" s="41">
        <v>40519</v>
      </c>
      <c r="M25" s="38" t="s">
        <v>26</v>
      </c>
      <c r="N25" s="42" t="s">
        <v>27</v>
      </c>
    </row>
    <row r="26" spans="1:14" s="4" customFormat="1" ht="49.5" customHeight="1">
      <c r="A26" s="35">
        <f t="shared" si="1"/>
        <v>24</v>
      </c>
      <c r="B26" s="36" t="s">
        <v>28</v>
      </c>
      <c r="C26" s="36" t="s">
        <v>58</v>
      </c>
      <c r="D26" s="36" t="s">
        <v>61</v>
      </c>
      <c r="E26" s="37">
        <v>0</v>
      </c>
      <c r="F26" s="37">
        <v>0</v>
      </c>
      <c r="G26" s="37">
        <f t="shared" si="0"/>
        <v>0</v>
      </c>
      <c r="H26" s="44" t="s">
        <v>62</v>
      </c>
      <c r="I26" s="45">
        <v>700000</v>
      </c>
      <c r="J26" s="45">
        <v>486857</v>
      </c>
      <c r="K26" s="41">
        <v>40532</v>
      </c>
      <c r="L26" s="41">
        <v>40711</v>
      </c>
      <c r="M26" s="38" t="s">
        <v>26</v>
      </c>
      <c r="N26" s="42" t="s">
        <v>27</v>
      </c>
    </row>
    <row r="27" spans="1:14" s="4" customFormat="1" ht="49.5" customHeight="1">
      <c r="A27" s="35">
        <f t="shared" si="1"/>
        <v>25</v>
      </c>
      <c r="B27" s="36" t="s">
        <v>28</v>
      </c>
      <c r="C27" s="36" t="s">
        <v>58</v>
      </c>
      <c r="D27" s="36" t="s">
        <v>261</v>
      </c>
      <c r="E27" s="37">
        <v>200000</v>
      </c>
      <c r="F27" s="37">
        <v>0</v>
      </c>
      <c r="G27" s="37">
        <f t="shared" si="0"/>
        <v>200000</v>
      </c>
      <c r="H27" s="44" t="s">
        <v>262</v>
      </c>
      <c r="I27" s="45">
        <v>200000</v>
      </c>
      <c r="J27" s="45">
        <v>0</v>
      </c>
      <c r="K27" s="41">
        <v>41018</v>
      </c>
      <c r="L27" s="41">
        <v>41378</v>
      </c>
      <c r="M27" s="38" t="s">
        <v>26</v>
      </c>
      <c r="N27" s="42" t="s">
        <v>27</v>
      </c>
    </row>
    <row r="28" spans="1:14" s="4" customFormat="1" ht="49.5" customHeight="1">
      <c r="A28" s="35">
        <f t="shared" si="1"/>
        <v>26</v>
      </c>
      <c r="B28" s="36" t="s">
        <v>274</v>
      </c>
      <c r="C28" s="36" t="s">
        <v>275</v>
      </c>
      <c r="D28" s="36" t="s">
        <v>276</v>
      </c>
      <c r="E28" s="37">
        <v>330000</v>
      </c>
      <c r="F28" s="37">
        <v>0</v>
      </c>
      <c r="G28" s="37">
        <f t="shared" si="0"/>
        <v>330000</v>
      </c>
      <c r="H28" s="38" t="s">
        <v>277</v>
      </c>
      <c r="I28" s="39">
        <v>330000</v>
      </c>
      <c r="J28" s="39">
        <v>0</v>
      </c>
      <c r="K28" s="41">
        <v>41019</v>
      </c>
      <c r="L28" s="41">
        <v>41229</v>
      </c>
      <c r="M28" s="38" t="s">
        <v>26</v>
      </c>
      <c r="N28" s="42" t="s">
        <v>68</v>
      </c>
    </row>
    <row r="29" spans="1:14" s="4" customFormat="1" ht="49.5" customHeight="1">
      <c r="A29" s="35">
        <f t="shared" si="1"/>
        <v>27</v>
      </c>
      <c r="B29" s="36" t="s">
        <v>63</v>
      </c>
      <c r="C29" s="36" t="s">
        <v>64</v>
      </c>
      <c r="D29" s="36" t="s">
        <v>65</v>
      </c>
      <c r="E29" s="37">
        <f>47533.89+15844.63+15844.63+15844.63</f>
        <v>95067.78</v>
      </c>
      <c r="F29" s="37">
        <v>0</v>
      </c>
      <c r="G29" s="37">
        <f t="shared" si="0"/>
        <v>95067.78</v>
      </c>
      <c r="H29" s="38" t="s">
        <v>264</v>
      </c>
      <c r="I29" s="39">
        <v>47533.89</v>
      </c>
      <c r="J29" s="39">
        <v>47533.89</v>
      </c>
      <c r="K29" s="41">
        <v>39814</v>
      </c>
      <c r="L29" s="41" t="s">
        <v>67</v>
      </c>
      <c r="M29" s="38" t="s">
        <v>26</v>
      </c>
      <c r="N29" s="42" t="s">
        <v>68</v>
      </c>
    </row>
    <row r="30" spans="1:14" s="4" customFormat="1" ht="49.5" customHeight="1">
      <c r="A30" s="35">
        <f t="shared" si="1"/>
        <v>28</v>
      </c>
      <c r="B30" s="36" t="s">
        <v>63</v>
      </c>
      <c r="C30" s="36" t="s">
        <v>64</v>
      </c>
      <c r="D30" s="36" t="s">
        <v>69</v>
      </c>
      <c r="E30" s="37">
        <v>0</v>
      </c>
      <c r="F30" s="37">
        <v>0</v>
      </c>
      <c r="G30" s="37">
        <f t="shared" si="0"/>
        <v>0</v>
      </c>
      <c r="H30" s="38" t="s">
        <v>264</v>
      </c>
      <c r="I30" s="39">
        <f>2880+6720</f>
        <v>9600</v>
      </c>
      <c r="J30" s="39">
        <f>7600+2000</f>
        <v>9600</v>
      </c>
      <c r="K30" s="41">
        <v>40303</v>
      </c>
      <c r="L30" s="41" t="s">
        <v>67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63</v>
      </c>
      <c r="C31" s="36" t="s">
        <v>64</v>
      </c>
      <c r="D31" s="36" t="s">
        <v>263</v>
      </c>
      <c r="E31" s="37">
        <f>1281.93+4497.1</f>
        <v>5779.030000000001</v>
      </c>
      <c r="F31" s="37">
        <v>0</v>
      </c>
      <c r="G31" s="37">
        <f t="shared" si="0"/>
        <v>5779.030000000001</v>
      </c>
      <c r="H31" s="38" t="s">
        <v>264</v>
      </c>
      <c r="I31" s="39">
        <v>5779.03</v>
      </c>
      <c r="J31" s="39">
        <v>0</v>
      </c>
      <c r="K31" s="41">
        <v>39600</v>
      </c>
      <c r="L31" s="41">
        <v>41274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63</v>
      </c>
      <c r="C32" s="36" t="s">
        <v>70</v>
      </c>
      <c r="D32" s="36" t="s">
        <v>71</v>
      </c>
      <c r="E32" s="37">
        <v>0</v>
      </c>
      <c r="F32" s="37">
        <v>0</v>
      </c>
      <c r="G32" s="37">
        <f t="shared" si="0"/>
        <v>0</v>
      </c>
      <c r="H32" s="38" t="s">
        <v>72</v>
      </c>
      <c r="I32" s="39">
        <v>70000</v>
      </c>
      <c r="J32" s="39">
        <v>70000</v>
      </c>
      <c r="K32" s="41">
        <v>40540</v>
      </c>
      <c r="L32" s="41">
        <v>40724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63</v>
      </c>
      <c r="C33" s="36" t="s">
        <v>70</v>
      </c>
      <c r="D33" s="36" t="s">
        <v>73</v>
      </c>
      <c r="E33" s="37">
        <v>0</v>
      </c>
      <c r="F33" s="37">
        <v>0</v>
      </c>
      <c r="G33" s="37">
        <f t="shared" si="0"/>
        <v>0</v>
      </c>
      <c r="H33" s="38" t="s">
        <v>74</v>
      </c>
      <c r="I33" s="39">
        <v>60000</v>
      </c>
      <c r="J33" s="39">
        <v>60000</v>
      </c>
      <c r="K33" s="41">
        <v>40540</v>
      </c>
      <c r="L33" s="41">
        <v>40724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75</v>
      </c>
      <c r="D34" s="36" t="s">
        <v>76</v>
      </c>
      <c r="E34" s="37">
        <v>0</v>
      </c>
      <c r="F34" s="37">
        <v>0</v>
      </c>
      <c r="G34" s="37">
        <f t="shared" si="0"/>
        <v>0</v>
      </c>
      <c r="H34" s="38" t="s">
        <v>77</v>
      </c>
      <c r="I34" s="39">
        <v>630000</v>
      </c>
      <c r="J34" s="39">
        <v>630000</v>
      </c>
      <c r="K34" s="41">
        <v>40599</v>
      </c>
      <c r="L34" s="41">
        <v>40908</v>
      </c>
      <c r="M34" s="38" t="s">
        <v>26</v>
      </c>
      <c r="N34" s="42" t="s">
        <v>68</v>
      </c>
    </row>
    <row r="35" spans="1:14" s="4" customFormat="1" ht="49.5" customHeight="1">
      <c r="A35" s="35">
        <f t="shared" si="1"/>
        <v>33</v>
      </c>
      <c r="B35" s="36" t="s">
        <v>63</v>
      </c>
      <c r="C35" s="36" t="s">
        <v>75</v>
      </c>
      <c r="D35" s="36" t="s">
        <v>78</v>
      </c>
      <c r="E35" s="37">
        <v>105000</v>
      </c>
      <c r="F35" s="37">
        <v>0</v>
      </c>
      <c r="G35" s="37">
        <f t="shared" si="0"/>
        <v>105000</v>
      </c>
      <c r="H35" s="38" t="s">
        <v>79</v>
      </c>
      <c r="I35" s="39">
        <v>630000</v>
      </c>
      <c r="J35" s="39">
        <v>525000</v>
      </c>
      <c r="K35" s="41">
        <v>40751</v>
      </c>
      <c r="L35" s="41">
        <v>40908</v>
      </c>
      <c r="M35" s="38" t="s">
        <v>26</v>
      </c>
      <c r="N35" s="42" t="s">
        <v>68</v>
      </c>
    </row>
    <row r="36" spans="1:14" s="4" customFormat="1" ht="49.5" customHeight="1">
      <c r="A36" s="35">
        <f t="shared" si="1"/>
        <v>34</v>
      </c>
      <c r="B36" s="36" t="s">
        <v>63</v>
      </c>
      <c r="C36" s="36" t="s">
        <v>75</v>
      </c>
      <c r="D36" s="36" t="s">
        <v>265</v>
      </c>
      <c r="E36" s="37">
        <f>105000+105000+105000</f>
        <v>315000</v>
      </c>
      <c r="F36" s="37">
        <v>0</v>
      </c>
      <c r="G36" s="37">
        <f t="shared" si="0"/>
        <v>315000</v>
      </c>
      <c r="H36" s="38" t="s">
        <v>266</v>
      </c>
      <c r="I36" s="39">
        <v>315000</v>
      </c>
      <c r="J36" s="39">
        <v>0</v>
      </c>
      <c r="K36" s="41">
        <v>40977</v>
      </c>
      <c r="L36" s="41">
        <v>41271</v>
      </c>
      <c r="M36" s="38" t="s">
        <v>26</v>
      </c>
      <c r="N36" s="42" t="s">
        <v>68</v>
      </c>
    </row>
    <row r="37" spans="1:14" s="4" customFormat="1" ht="49.5" customHeight="1">
      <c r="A37" s="35">
        <f t="shared" si="1"/>
        <v>35</v>
      </c>
      <c r="B37" s="36" t="s">
        <v>63</v>
      </c>
      <c r="C37" s="36" t="s">
        <v>70</v>
      </c>
      <c r="D37" s="36" t="s">
        <v>299</v>
      </c>
      <c r="E37" s="37">
        <v>200000</v>
      </c>
      <c r="F37" s="37">
        <v>0</v>
      </c>
      <c r="G37" s="37">
        <f t="shared" si="0"/>
        <v>200000</v>
      </c>
      <c r="H37" s="38" t="s">
        <v>300</v>
      </c>
      <c r="I37" s="39">
        <v>200000</v>
      </c>
      <c r="J37" s="39">
        <v>0</v>
      </c>
      <c r="K37" s="41">
        <v>41086</v>
      </c>
      <c r="L37" s="41">
        <v>41271</v>
      </c>
      <c r="M37" s="38" t="s">
        <v>26</v>
      </c>
      <c r="N37" s="42" t="s">
        <v>68</v>
      </c>
    </row>
    <row r="38" spans="1:14" s="4" customFormat="1" ht="49.5" customHeight="1">
      <c r="A38" s="35">
        <f t="shared" si="1"/>
        <v>36</v>
      </c>
      <c r="B38" s="36" t="s">
        <v>63</v>
      </c>
      <c r="C38" s="36" t="s">
        <v>301</v>
      </c>
      <c r="D38" s="36" t="s">
        <v>302</v>
      </c>
      <c r="E38" s="37">
        <v>360000</v>
      </c>
      <c r="F38" s="37">
        <v>0</v>
      </c>
      <c r="G38" s="37">
        <f t="shared" si="0"/>
        <v>360000</v>
      </c>
      <c r="H38" s="38" t="s">
        <v>303</v>
      </c>
      <c r="I38" s="39">
        <v>400000</v>
      </c>
      <c r="J38" s="39">
        <v>0</v>
      </c>
      <c r="K38" s="41">
        <v>41087</v>
      </c>
      <c r="L38" s="41">
        <v>41271</v>
      </c>
      <c r="M38" s="38" t="s">
        <v>26</v>
      </c>
      <c r="N38" s="42" t="s">
        <v>68</v>
      </c>
    </row>
    <row r="39" spans="1:14" s="4" customFormat="1" ht="49.5" customHeight="1">
      <c r="A39" s="35">
        <f t="shared" si="1"/>
        <v>37</v>
      </c>
      <c r="B39" s="36" t="s">
        <v>63</v>
      </c>
      <c r="C39" s="36" t="s">
        <v>75</v>
      </c>
      <c r="D39" s="36" t="s">
        <v>320</v>
      </c>
      <c r="E39" s="37">
        <f>420000+105000+105000+105000</f>
        <v>735000</v>
      </c>
      <c r="F39" s="37">
        <v>0</v>
      </c>
      <c r="G39" s="37">
        <f t="shared" si="0"/>
        <v>735000</v>
      </c>
      <c r="H39" s="38" t="s">
        <v>321</v>
      </c>
      <c r="I39" s="39">
        <v>945000</v>
      </c>
      <c r="J39" s="39">
        <v>0</v>
      </c>
      <c r="K39" s="41">
        <v>41081</v>
      </c>
      <c r="L39" s="79">
        <v>41271</v>
      </c>
      <c r="M39" s="38" t="s">
        <v>26</v>
      </c>
      <c r="N39" s="42" t="s">
        <v>68</v>
      </c>
    </row>
    <row r="40" spans="1:14" s="4" customFormat="1" ht="49.5" customHeight="1">
      <c r="A40" s="35">
        <f t="shared" si="1"/>
        <v>38</v>
      </c>
      <c r="B40" s="36" t="s">
        <v>80</v>
      </c>
      <c r="C40" s="36" t="s">
        <v>81</v>
      </c>
      <c r="D40" s="36" t="s">
        <v>82</v>
      </c>
      <c r="E40" s="37">
        <v>0</v>
      </c>
      <c r="F40" s="37">
        <v>0</v>
      </c>
      <c r="G40" s="37">
        <f t="shared" si="0"/>
        <v>0</v>
      </c>
      <c r="H40" s="44" t="s">
        <v>83</v>
      </c>
      <c r="I40" s="45">
        <v>126000</v>
      </c>
      <c r="J40" s="45">
        <f>66036+47363</f>
        <v>113399</v>
      </c>
      <c r="K40" s="41">
        <v>39071</v>
      </c>
      <c r="L40" s="41" t="s">
        <v>84</v>
      </c>
      <c r="M40" s="46" t="s">
        <v>26</v>
      </c>
      <c r="N40" s="42" t="s">
        <v>27</v>
      </c>
    </row>
    <row r="41" spans="1:14" s="4" customFormat="1" ht="49.5" customHeight="1">
      <c r="A41" s="35">
        <f t="shared" si="1"/>
        <v>39</v>
      </c>
      <c r="B41" s="36" t="s">
        <v>85</v>
      </c>
      <c r="C41" s="36" t="s">
        <v>86</v>
      </c>
      <c r="D41" s="36" t="s">
        <v>87</v>
      </c>
      <c r="E41" s="39">
        <f>8732.91+45419.87+16466.7+27317.93+17214.98+10475.5+8869.4+12911.27+25808.23</f>
        <v>173216.79</v>
      </c>
      <c r="F41" s="37">
        <v>0</v>
      </c>
      <c r="G41" s="37">
        <f t="shared" si="0"/>
        <v>173216.79</v>
      </c>
      <c r="H41" s="44" t="s">
        <v>88</v>
      </c>
      <c r="I41" s="45">
        <v>85000</v>
      </c>
      <c r="J41" s="45">
        <v>0</v>
      </c>
      <c r="K41" s="41">
        <v>38611</v>
      </c>
      <c r="L41" s="41" t="s">
        <v>67</v>
      </c>
      <c r="M41" s="46" t="s">
        <v>26</v>
      </c>
      <c r="N41" s="42" t="s">
        <v>27</v>
      </c>
    </row>
    <row r="42" spans="1:14" s="4" customFormat="1" ht="49.5" customHeight="1">
      <c r="A42" s="35">
        <f t="shared" si="1"/>
        <v>40</v>
      </c>
      <c r="B42" s="36" t="s">
        <v>89</v>
      </c>
      <c r="C42" s="36" t="s">
        <v>90</v>
      </c>
      <c r="D42" s="36" t="s">
        <v>91</v>
      </c>
      <c r="E42" s="39">
        <v>0</v>
      </c>
      <c r="F42" s="37">
        <v>0</v>
      </c>
      <c r="G42" s="37">
        <f t="shared" si="0"/>
        <v>0</v>
      </c>
      <c r="H42" s="44" t="s">
        <v>92</v>
      </c>
      <c r="I42" s="45">
        <v>292500</v>
      </c>
      <c r="J42" s="45">
        <v>292500</v>
      </c>
      <c r="K42" s="41">
        <v>40350</v>
      </c>
      <c r="L42" s="41">
        <v>40775</v>
      </c>
      <c r="M42" s="46" t="s">
        <v>26</v>
      </c>
      <c r="N42" s="42" t="s">
        <v>27</v>
      </c>
    </row>
    <row r="43" spans="1:14" s="4" customFormat="1" ht="49.5" customHeight="1">
      <c r="A43" s="35">
        <f t="shared" si="1"/>
        <v>41</v>
      </c>
      <c r="B43" s="36" t="s">
        <v>89</v>
      </c>
      <c r="C43" s="36" t="s">
        <v>322</v>
      </c>
      <c r="D43" s="36" t="s">
        <v>323</v>
      </c>
      <c r="E43" s="37">
        <v>292500</v>
      </c>
      <c r="F43" s="37">
        <v>0</v>
      </c>
      <c r="G43" s="37">
        <f t="shared" si="0"/>
        <v>292500</v>
      </c>
      <c r="H43" s="38" t="s">
        <v>324</v>
      </c>
      <c r="I43" s="39">
        <v>292500</v>
      </c>
      <c r="J43" s="39">
        <v>0</v>
      </c>
      <c r="K43" s="41">
        <v>41061</v>
      </c>
      <c r="L43" s="41">
        <v>41274</v>
      </c>
      <c r="M43" s="46" t="s">
        <v>26</v>
      </c>
      <c r="N43" s="42" t="s">
        <v>27</v>
      </c>
    </row>
    <row r="44" spans="1:14" s="4" customFormat="1" ht="49.5" customHeight="1">
      <c r="A44" s="35">
        <f t="shared" si="1"/>
        <v>42</v>
      </c>
      <c r="B44" s="36" t="s">
        <v>93</v>
      </c>
      <c r="C44" s="36" t="s">
        <v>94</v>
      </c>
      <c r="D44" s="36" t="s">
        <v>95</v>
      </c>
      <c r="E44" s="37">
        <f>179904+359808+179904+205932+205932+205932+205932+205932</f>
        <v>1749276</v>
      </c>
      <c r="F44" s="37">
        <v>0</v>
      </c>
      <c r="G44" s="37">
        <f t="shared" si="0"/>
        <v>1749276</v>
      </c>
      <c r="H44" s="38" t="s">
        <v>96</v>
      </c>
      <c r="I44" s="39">
        <v>1803960</v>
      </c>
      <c r="J44" s="39">
        <v>0</v>
      </c>
      <c r="K44" s="41">
        <v>40544</v>
      </c>
      <c r="L44" s="41">
        <v>40908</v>
      </c>
      <c r="M44" s="46" t="s">
        <v>26</v>
      </c>
      <c r="N44" s="42" t="s">
        <v>68</v>
      </c>
    </row>
    <row r="45" spans="1:14" s="4" customFormat="1" ht="49.5" customHeight="1">
      <c r="A45" s="35">
        <f t="shared" si="1"/>
        <v>43</v>
      </c>
      <c r="B45" s="36" t="s">
        <v>93</v>
      </c>
      <c r="C45" s="36" t="s">
        <v>97</v>
      </c>
      <c r="D45" s="36" t="s">
        <v>97</v>
      </c>
      <c r="E45" s="37">
        <f>49674.78+13.72+24823.67+24837.39+24837.39+24837.39+24837.39+24837.39</f>
        <v>198699.12</v>
      </c>
      <c r="F45" s="37">
        <v>0</v>
      </c>
      <c r="G45" s="37">
        <f t="shared" si="0"/>
        <v>198699.12</v>
      </c>
      <c r="H45" s="38" t="s">
        <v>98</v>
      </c>
      <c r="I45" s="39">
        <v>232427</v>
      </c>
      <c r="J45" s="39">
        <v>0</v>
      </c>
      <c r="K45" s="41">
        <v>40544</v>
      </c>
      <c r="L45" s="41">
        <v>40908</v>
      </c>
      <c r="M45" s="38" t="s">
        <v>26</v>
      </c>
      <c r="N45" s="42" t="s">
        <v>68</v>
      </c>
    </row>
    <row r="46" spans="1:14" s="4" customFormat="1" ht="49.5" customHeight="1">
      <c r="A46" s="35">
        <f t="shared" si="1"/>
        <v>44</v>
      </c>
      <c r="B46" s="36" t="s">
        <v>93</v>
      </c>
      <c r="C46" s="36" t="s">
        <v>99</v>
      </c>
      <c r="D46" s="36" t="s">
        <v>100</v>
      </c>
      <c r="E46" s="37">
        <f>605.5+563</f>
        <v>1168.5</v>
      </c>
      <c r="F46" s="37">
        <v>0</v>
      </c>
      <c r="G46" s="37">
        <f t="shared" si="0"/>
        <v>1168.5</v>
      </c>
      <c r="H46" s="38" t="s">
        <v>101</v>
      </c>
      <c r="I46" s="39">
        <v>12756.3</v>
      </c>
      <c r="J46" s="39">
        <v>12756.3</v>
      </c>
      <c r="K46" s="41">
        <v>40544</v>
      </c>
      <c r="L46" s="41">
        <v>40908</v>
      </c>
      <c r="M46" s="38" t="s">
        <v>26</v>
      </c>
      <c r="N46" s="42" t="s">
        <v>68</v>
      </c>
    </row>
    <row r="47" spans="1:14" s="4" customFormat="1" ht="49.5" customHeight="1">
      <c r="A47" s="35">
        <f t="shared" si="1"/>
        <v>45</v>
      </c>
      <c r="B47" s="36" t="s">
        <v>93</v>
      </c>
      <c r="C47" s="36" t="s">
        <v>102</v>
      </c>
      <c r="D47" s="36" t="s">
        <v>103</v>
      </c>
      <c r="E47" s="47">
        <v>8077.13</v>
      </c>
      <c r="F47" s="37">
        <v>0</v>
      </c>
      <c r="G47" s="37">
        <f t="shared" si="0"/>
        <v>8077.13</v>
      </c>
      <c r="H47" s="38" t="s">
        <v>104</v>
      </c>
      <c r="I47" s="39">
        <v>10750</v>
      </c>
      <c r="J47" s="39">
        <v>0</v>
      </c>
      <c r="K47" s="41">
        <v>40070</v>
      </c>
      <c r="L47" s="41" t="s">
        <v>67</v>
      </c>
      <c r="M47" s="38" t="s">
        <v>26</v>
      </c>
      <c r="N47" s="42" t="s">
        <v>27</v>
      </c>
    </row>
    <row r="48" spans="1:14" s="4" customFormat="1" ht="49.5" customHeight="1">
      <c r="A48" s="35">
        <f t="shared" si="1"/>
        <v>46</v>
      </c>
      <c r="B48" s="36" t="s">
        <v>93</v>
      </c>
      <c r="C48" s="36" t="s">
        <v>105</v>
      </c>
      <c r="D48" s="36" t="s">
        <v>106</v>
      </c>
      <c r="E48" s="47">
        <v>0</v>
      </c>
      <c r="F48" s="37">
        <v>0</v>
      </c>
      <c r="G48" s="37">
        <f t="shared" si="0"/>
        <v>0</v>
      </c>
      <c r="H48" s="38" t="s">
        <v>107</v>
      </c>
      <c r="I48" s="39">
        <v>1276275.58</v>
      </c>
      <c r="J48" s="39">
        <v>255255.12</v>
      </c>
      <c r="K48" s="41">
        <v>40725</v>
      </c>
      <c r="L48" s="41">
        <v>41274</v>
      </c>
      <c r="M48" s="38" t="s">
        <v>26</v>
      </c>
      <c r="N48" s="42" t="s">
        <v>27</v>
      </c>
    </row>
    <row r="49" spans="1:14" s="4" customFormat="1" ht="49.5" customHeight="1">
      <c r="A49" s="35">
        <f t="shared" si="1"/>
        <v>47</v>
      </c>
      <c r="B49" s="36" t="s">
        <v>93</v>
      </c>
      <c r="C49" s="36" t="s">
        <v>105</v>
      </c>
      <c r="D49" s="36" t="s">
        <v>108</v>
      </c>
      <c r="E49" s="47">
        <v>0</v>
      </c>
      <c r="F49" s="37">
        <v>0</v>
      </c>
      <c r="G49" s="37">
        <f t="shared" si="0"/>
        <v>0</v>
      </c>
      <c r="H49" s="38" t="s">
        <v>109</v>
      </c>
      <c r="I49" s="39">
        <v>1316838.4</v>
      </c>
      <c r="J49" s="39">
        <v>263367.68</v>
      </c>
      <c r="K49" s="41">
        <v>40544</v>
      </c>
      <c r="L49" s="41">
        <v>41274</v>
      </c>
      <c r="M49" s="38" t="s">
        <v>26</v>
      </c>
      <c r="N49" s="42" t="s">
        <v>27</v>
      </c>
    </row>
    <row r="50" spans="1:14" s="4" customFormat="1" ht="49.5" customHeight="1">
      <c r="A50" s="35">
        <f t="shared" si="1"/>
        <v>48</v>
      </c>
      <c r="B50" s="36" t="s">
        <v>93</v>
      </c>
      <c r="C50" s="36" t="s">
        <v>228</v>
      </c>
      <c r="D50" s="36" t="s">
        <v>229</v>
      </c>
      <c r="E50" s="47">
        <f>96359.9+144539.86</f>
        <v>240899.75999999998</v>
      </c>
      <c r="F50" s="37">
        <v>0</v>
      </c>
      <c r="G50" s="37">
        <f t="shared" si="0"/>
        <v>240899.75999999998</v>
      </c>
      <c r="H50" s="38" t="s">
        <v>230</v>
      </c>
      <c r="I50" s="39">
        <v>481799.52</v>
      </c>
      <c r="J50" s="39">
        <v>0</v>
      </c>
      <c r="K50" s="41">
        <v>40725</v>
      </c>
      <c r="L50" s="41">
        <v>41274</v>
      </c>
      <c r="M50" s="38" t="s">
        <v>26</v>
      </c>
      <c r="N50" s="42" t="s">
        <v>27</v>
      </c>
    </row>
    <row r="51" spans="1:14" s="4" customFormat="1" ht="49.5" customHeight="1">
      <c r="A51" s="35">
        <f t="shared" si="1"/>
        <v>49</v>
      </c>
      <c r="B51" s="36" t="s">
        <v>93</v>
      </c>
      <c r="C51" s="36" t="s">
        <v>110</v>
      </c>
      <c r="D51" s="36" t="s">
        <v>111</v>
      </c>
      <c r="E51" s="47">
        <f>214740+161988.75</f>
        <v>376728.75</v>
      </c>
      <c r="F51" s="37">
        <v>0</v>
      </c>
      <c r="G51" s="37">
        <f t="shared" si="0"/>
        <v>376728.75</v>
      </c>
      <c r="H51" s="38" t="s">
        <v>112</v>
      </c>
      <c r="I51" s="39">
        <v>644220</v>
      </c>
      <c r="J51" s="39">
        <v>0</v>
      </c>
      <c r="K51" s="41">
        <v>40909</v>
      </c>
      <c r="L51" s="41">
        <v>41639</v>
      </c>
      <c r="M51" s="46" t="s">
        <v>113</v>
      </c>
      <c r="N51" s="42" t="s">
        <v>27</v>
      </c>
    </row>
    <row r="52" spans="1:14" s="4" customFormat="1" ht="49.5" customHeight="1">
      <c r="A52" s="35">
        <f t="shared" si="1"/>
        <v>50</v>
      </c>
      <c r="B52" s="36" t="s">
        <v>93</v>
      </c>
      <c r="C52" s="36" t="s">
        <v>267</v>
      </c>
      <c r="D52" s="36" t="s">
        <v>268</v>
      </c>
      <c r="E52" s="37">
        <v>396871.2</v>
      </c>
      <c r="F52" s="37">
        <v>0</v>
      </c>
      <c r="G52" s="37">
        <f t="shared" si="0"/>
        <v>396871.2</v>
      </c>
      <c r="H52" s="38" t="s">
        <v>269</v>
      </c>
      <c r="I52" s="39">
        <v>0</v>
      </c>
      <c r="J52" s="39">
        <v>0</v>
      </c>
      <c r="K52" s="41">
        <v>40909</v>
      </c>
      <c r="L52" s="41">
        <v>41274</v>
      </c>
      <c r="M52" s="46" t="s">
        <v>26</v>
      </c>
      <c r="N52" s="42" t="s">
        <v>68</v>
      </c>
    </row>
    <row r="53" spans="1:14" s="4" customFormat="1" ht="49.5" customHeight="1">
      <c r="A53" s="35">
        <f t="shared" si="1"/>
        <v>51</v>
      </c>
      <c r="B53" s="36" t="s">
        <v>114</v>
      </c>
      <c r="C53" s="36" t="s">
        <v>115</v>
      </c>
      <c r="D53" s="36" t="s">
        <v>116</v>
      </c>
      <c r="E53" s="37">
        <v>0</v>
      </c>
      <c r="F53" s="37">
        <v>0</v>
      </c>
      <c r="G53" s="37">
        <f t="shared" si="0"/>
        <v>0</v>
      </c>
      <c r="H53" s="38" t="s">
        <v>117</v>
      </c>
      <c r="I53" s="39">
        <v>120000</v>
      </c>
      <c r="J53" s="39">
        <v>120000</v>
      </c>
      <c r="K53" s="41">
        <v>39626</v>
      </c>
      <c r="L53" s="41">
        <v>40629</v>
      </c>
      <c r="M53" s="38" t="s">
        <v>26</v>
      </c>
      <c r="N53" s="42" t="s">
        <v>27</v>
      </c>
    </row>
    <row r="54" spans="1:14" s="4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119</v>
      </c>
      <c r="E54" s="37">
        <v>27319.22</v>
      </c>
      <c r="F54" s="37">
        <v>0</v>
      </c>
      <c r="G54" s="37">
        <f t="shared" si="0"/>
        <v>27319.22</v>
      </c>
      <c r="H54" s="38" t="s">
        <v>120</v>
      </c>
      <c r="I54" s="39">
        <v>50000</v>
      </c>
      <c r="J54" s="39">
        <v>27218.1</v>
      </c>
      <c r="K54" s="41">
        <v>40179</v>
      </c>
      <c r="L54" s="41" t="s">
        <v>67</v>
      </c>
      <c r="M54" s="38" t="s">
        <v>121</v>
      </c>
      <c r="N54" s="42" t="s">
        <v>27</v>
      </c>
    </row>
    <row r="55" spans="1:14" s="4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242</v>
      </c>
      <c r="E55" s="37">
        <f>6284.79+5879.32+5879.32+5879.32+6082.05+8665.02+8630.43+17895.44</f>
        <v>65195.69</v>
      </c>
      <c r="F55" s="37">
        <v>0</v>
      </c>
      <c r="G55" s="37">
        <f t="shared" si="0"/>
        <v>65195.69</v>
      </c>
      <c r="H55" s="38" t="s">
        <v>120</v>
      </c>
      <c r="I55" s="39">
        <v>50000</v>
      </c>
      <c r="J55" s="39">
        <v>27218.1</v>
      </c>
      <c r="K55" s="41">
        <v>40179</v>
      </c>
      <c r="L55" s="41" t="s">
        <v>67</v>
      </c>
      <c r="M55" s="38" t="s">
        <v>121</v>
      </c>
      <c r="N55" s="42" t="s">
        <v>27</v>
      </c>
    </row>
    <row r="56" spans="1:14" s="4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122</v>
      </c>
      <c r="E56" s="37">
        <v>0</v>
      </c>
      <c r="F56" s="37">
        <v>0</v>
      </c>
      <c r="G56" s="37">
        <f t="shared" si="0"/>
        <v>0</v>
      </c>
      <c r="H56" s="38" t="s">
        <v>123</v>
      </c>
      <c r="I56" s="39">
        <v>2950</v>
      </c>
      <c r="J56" s="39">
        <v>2950</v>
      </c>
      <c r="K56" s="41">
        <v>40118</v>
      </c>
      <c r="L56" s="41" t="s">
        <v>67</v>
      </c>
      <c r="M56" s="38" t="s">
        <v>26</v>
      </c>
      <c r="N56" s="42" t="s">
        <v>27</v>
      </c>
    </row>
    <row r="57" spans="1:14" s="4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124</v>
      </c>
      <c r="E57" s="37">
        <v>0</v>
      </c>
      <c r="F57" s="37">
        <v>0</v>
      </c>
      <c r="G57" s="37">
        <f t="shared" si="0"/>
        <v>0</v>
      </c>
      <c r="H57" s="38" t="s">
        <v>123</v>
      </c>
      <c r="I57" s="39">
        <v>900</v>
      </c>
      <c r="J57" s="39">
        <v>925</v>
      </c>
      <c r="K57" s="41">
        <v>40179</v>
      </c>
      <c r="L57" s="41" t="s">
        <v>67</v>
      </c>
      <c r="M57" s="38" t="s">
        <v>26</v>
      </c>
      <c r="N57" s="42" t="s">
        <v>27</v>
      </c>
    </row>
    <row r="58" spans="1:15" s="7" customFormat="1" ht="49.5" customHeight="1">
      <c r="A58" s="35">
        <f t="shared" si="1"/>
        <v>56</v>
      </c>
      <c r="B58" s="36" t="s">
        <v>118</v>
      </c>
      <c r="C58" s="36" t="s">
        <v>10</v>
      </c>
      <c r="D58" s="36" t="s">
        <v>125</v>
      </c>
      <c r="E58" s="37">
        <v>9000</v>
      </c>
      <c r="F58" s="37">
        <v>0</v>
      </c>
      <c r="G58" s="37">
        <f t="shared" si="0"/>
        <v>9000</v>
      </c>
      <c r="H58" s="38" t="s">
        <v>126</v>
      </c>
      <c r="I58" s="39">
        <v>108000</v>
      </c>
      <c r="J58" s="39">
        <v>99000</v>
      </c>
      <c r="K58" s="41">
        <v>40544</v>
      </c>
      <c r="L58" s="41" t="s">
        <v>67</v>
      </c>
      <c r="M58" s="38" t="s">
        <v>26</v>
      </c>
      <c r="N58" s="42" t="s">
        <v>27</v>
      </c>
      <c r="O58" s="4"/>
    </row>
    <row r="59" spans="1:15" s="7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243</v>
      </c>
      <c r="E59" s="37">
        <f>9000+9000+9000+9000+9000+27000+18000+18000+18000+18000</f>
        <v>144000</v>
      </c>
      <c r="F59" s="37">
        <v>0</v>
      </c>
      <c r="G59" s="37">
        <f t="shared" si="0"/>
        <v>144000</v>
      </c>
      <c r="H59" s="38" t="s">
        <v>126</v>
      </c>
      <c r="I59" s="39">
        <v>108000</v>
      </c>
      <c r="J59" s="39">
        <v>0</v>
      </c>
      <c r="K59" s="41">
        <v>40544</v>
      </c>
      <c r="L59" s="41" t="s">
        <v>67</v>
      </c>
      <c r="M59" s="38" t="s">
        <v>26</v>
      </c>
      <c r="N59" s="42" t="s">
        <v>27</v>
      </c>
      <c r="O59" s="4"/>
    </row>
    <row r="60" spans="1:15" s="7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127</v>
      </c>
      <c r="E60" s="37">
        <v>0</v>
      </c>
      <c r="F60" s="37">
        <v>0</v>
      </c>
      <c r="G60" s="37">
        <f t="shared" si="0"/>
        <v>0</v>
      </c>
      <c r="H60" s="38" t="s">
        <v>128</v>
      </c>
      <c r="I60" s="39">
        <v>6000</v>
      </c>
      <c r="J60" s="39">
        <v>6000</v>
      </c>
      <c r="K60" s="41">
        <v>39814</v>
      </c>
      <c r="L60" s="41" t="s">
        <v>67</v>
      </c>
      <c r="M60" s="38" t="s">
        <v>26</v>
      </c>
      <c r="N60" s="42" t="s">
        <v>27</v>
      </c>
      <c r="O60" s="4"/>
    </row>
    <row r="61" spans="1:15" s="7" customFormat="1" ht="49.5" customHeight="1">
      <c r="A61" s="35">
        <f t="shared" si="1"/>
        <v>59</v>
      </c>
      <c r="B61" s="36" t="s">
        <v>118</v>
      </c>
      <c r="C61" s="36" t="s">
        <v>10</v>
      </c>
      <c r="D61" s="36" t="s">
        <v>244</v>
      </c>
      <c r="E61" s="37">
        <v>8793</v>
      </c>
      <c r="F61" s="37">
        <v>0</v>
      </c>
      <c r="G61" s="37">
        <f t="shared" si="0"/>
        <v>8793</v>
      </c>
      <c r="H61" s="38" t="s">
        <v>130</v>
      </c>
      <c r="I61" s="39">
        <v>60300</v>
      </c>
      <c r="J61" s="39">
        <v>50561.25</v>
      </c>
      <c r="K61" s="41" t="s">
        <v>131</v>
      </c>
      <c r="L61" s="41" t="s">
        <v>67</v>
      </c>
      <c r="M61" s="38" t="s">
        <v>26</v>
      </c>
      <c r="N61" s="42" t="s">
        <v>27</v>
      </c>
      <c r="O61" s="4"/>
    </row>
    <row r="62" spans="1:15" s="7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245</v>
      </c>
      <c r="E62" s="37">
        <f>5025+5025+5025+2512.5+2512.5+2512.5+2512.5</f>
        <v>25125</v>
      </c>
      <c r="F62" s="37">
        <v>0</v>
      </c>
      <c r="G62" s="37">
        <f t="shared" si="0"/>
        <v>25125</v>
      </c>
      <c r="H62" s="38" t="s">
        <v>130</v>
      </c>
      <c r="I62" s="39">
        <v>60300</v>
      </c>
      <c r="J62" s="39">
        <v>0</v>
      </c>
      <c r="K62" s="41" t="s">
        <v>131</v>
      </c>
      <c r="L62" s="41" t="s">
        <v>67</v>
      </c>
      <c r="M62" s="38" t="s">
        <v>26</v>
      </c>
      <c r="N62" s="42" t="s">
        <v>27</v>
      </c>
      <c r="O62" s="4"/>
    </row>
    <row r="63" spans="1:15" s="7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132</v>
      </c>
      <c r="E63" s="37">
        <f>1000</f>
        <v>1000</v>
      </c>
      <c r="F63" s="37">
        <v>0</v>
      </c>
      <c r="G63" s="37">
        <f t="shared" si="0"/>
        <v>1000</v>
      </c>
      <c r="H63" s="38" t="s">
        <v>133</v>
      </c>
      <c r="I63" s="39">
        <v>12000</v>
      </c>
      <c r="J63" s="39">
        <v>11000</v>
      </c>
      <c r="K63" s="41">
        <v>40544</v>
      </c>
      <c r="L63" s="41" t="s">
        <v>67</v>
      </c>
      <c r="M63" s="38" t="s">
        <v>26</v>
      </c>
      <c r="N63" s="42" t="s">
        <v>27</v>
      </c>
      <c r="O63" s="4"/>
    </row>
    <row r="64" spans="1:15" s="7" customFormat="1" ht="49.5" customHeight="1">
      <c r="A64" s="35">
        <f t="shared" si="1"/>
        <v>62</v>
      </c>
      <c r="B64" s="36" t="s">
        <v>118</v>
      </c>
      <c r="C64" s="36" t="s">
        <v>10</v>
      </c>
      <c r="D64" s="36" t="s">
        <v>246</v>
      </c>
      <c r="E64" s="37">
        <f>1000+1000+1000+1000+1000+1000+1000+1000+1000+1000</f>
        <v>10000</v>
      </c>
      <c r="F64" s="37">
        <v>0</v>
      </c>
      <c r="G64" s="37">
        <f t="shared" si="0"/>
        <v>10000</v>
      </c>
      <c r="H64" s="38" t="s">
        <v>133</v>
      </c>
      <c r="I64" s="39">
        <v>12000</v>
      </c>
      <c r="J64" s="39">
        <v>0</v>
      </c>
      <c r="K64" s="41">
        <v>40544</v>
      </c>
      <c r="L64" s="41" t="s">
        <v>67</v>
      </c>
      <c r="M64" s="38" t="s">
        <v>26</v>
      </c>
      <c r="N64" s="42" t="s">
        <v>27</v>
      </c>
      <c r="O64" s="4"/>
    </row>
    <row r="65" spans="1:15" s="7" customFormat="1" ht="49.5" customHeight="1">
      <c r="A65" s="35">
        <f t="shared" si="1"/>
        <v>63</v>
      </c>
      <c r="B65" s="36" t="s">
        <v>118</v>
      </c>
      <c r="C65" s="36" t="s">
        <v>15</v>
      </c>
      <c r="D65" s="36" t="s">
        <v>134</v>
      </c>
      <c r="E65" s="37">
        <f>9000+9000+9000+9000+9000+9000+9000+9000+9000+9000</f>
        <v>90000</v>
      </c>
      <c r="F65" s="37">
        <v>0</v>
      </c>
      <c r="G65" s="37">
        <f t="shared" si="0"/>
        <v>90000</v>
      </c>
      <c r="H65" s="38" t="s">
        <v>135</v>
      </c>
      <c r="I65" s="39">
        <v>108000</v>
      </c>
      <c r="J65" s="39">
        <v>0</v>
      </c>
      <c r="K65" s="41">
        <v>40544</v>
      </c>
      <c r="L65" s="41" t="s">
        <v>67</v>
      </c>
      <c r="M65" s="38" t="s">
        <v>26</v>
      </c>
      <c r="N65" s="42" t="s">
        <v>27</v>
      </c>
      <c r="O65" s="4"/>
    </row>
    <row r="66" spans="1:15" s="7" customFormat="1" ht="49.5" customHeight="1">
      <c r="A66" s="35">
        <f t="shared" si="1"/>
        <v>64</v>
      </c>
      <c r="B66" s="36" t="s">
        <v>118</v>
      </c>
      <c r="C66" s="36" t="s">
        <v>15</v>
      </c>
      <c r="D66" s="36" t="s">
        <v>247</v>
      </c>
      <c r="E66" s="37">
        <f>12500+14700+14700+14700+14700+14700+29400+14700</f>
        <v>130100</v>
      </c>
      <c r="F66" s="37">
        <v>0</v>
      </c>
      <c r="G66" s="37">
        <f t="shared" si="0"/>
        <v>130100</v>
      </c>
      <c r="H66" s="38" t="s">
        <v>137</v>
      </c>
      <c r="I66" s="39">
        <f>12500*12</f>
        <v>150000</v>
      </c>
      <c r="J66" s="39">
        <v>0</v>
      </c>
      <c r="K66" s="41">
        <v>40544</v>
      </c>
      <c r="L66" s="41" t="s">
        <v>67</v>
      </c>
      <c r="M66" s="38" t="s">
        <v>26</v>
      </c>
      <c r="N66" s="42" t="s">
        <v>27</v>
      </c>
      <c r="O66" s="4"/>
    </row>
    <row r="67" spans="1:15" s="7" customFormat="1" ht="49.5" customHeight="1">
      <c r="A67" s="35">
        <f t="shared" si="1"/>
        <v>65</v>
      </c>
      <c r="B67" s="36" t="s">
        <v>118</v>
      </c>
      <c r="C67" s="36" t="s">
        <v>15</v>
      </c>
      <c r="D67" s="36" t="s">
        <v>136</v>
      </c>
      <c r="E67" s="37">
        <v>10300</v>
      </c>
      <c r="F67" s="37">
        <v>0</v>
      </c>
      <c r="G67" s="37">
        <f aca="true" t="shared" si="2" ref="G67:G107">E67+F67</f>
        <v>10300</v>
      </c>
      <c r="H67" s="38" t="s">
        <v>137</v>
      </c>
      <c r="I67" s="39">
        <f>10300*12</f>
        <v>123600</v>
      </c>
      <c r="J67" s="39">
        <v>113300</v>
      </c>
      <c r="K67" s="41">
        <v>40544</v>
      </c>
      <c r="L67" s="41" t="s">
        <v>67</v>
      </c>
      <c r="M67" s="38" t="s">
        <v>26</v>
      </c>
      <c r="N67" s="42" t="s">
        <v>27</v>
      </c>
      <c r="O67" s="4"/>
    </row>
    <row r="68" spans="1:15" s="7" customFormat="1" ht="49.5" customHeight="1">
      <c r="A68" s="35">
        <f aca="true" t="shared" si="3" ref="A68:A107">A67+1</f>
        <v>66</v>
      </c>
      <c r="B68" s="36" t="s">
        <v>118</v>
      </c>
      <c r="C68" s="36" t="s">
        <v>15</v>
      </c>
      <c r="D68" s="36" t="s">
        <v>138</v>
      </c>
      <c r="E68" s="37">
        <v>2200</v>
      </c>
      <c r="F68" s="37">
        <v>0</v>
      </c>
      <c r="G68" s="37">
        <f t="shared" si="2"/>
        <v>2200</v>
      </c>
      <c r="H68" s="38" t="s">
        <v>139</v>
      </c>
      <c r="I68" s="39">
        <v>26400</v>
      </c>
      <c r="J68" s="39">
        <f>11*2200</f>
        <v>24200</v>
      </c>
      <c r="K68" s="41">
        <v>40544</v>
      </c>
      <c r="L68" s="41" t="s">
        <v>67</v>
      </c>
      <c r="M68" s="38" t="s">
        <v>26</v>
      </c>
      <c r="N68" s="42" t="s">
        <v>27</v>
      </c>
      <c r="O68" s="4"/>
    </row>
    <row r="69" spans="1:15" s="7" customFormat="1" ht="49.5" customHeight="1">
      <c r="A69" s="35">
        <f t="shared" si="3"/>
        <v>67</v>
      </c>
      <c r="B69" s="36" t="s">
        <v>118</v>
      </c>
      <c r="C69" s="36" t="s">
        <v>15</v>
      </c>
      <c r="D69" s="36" t="s">
        <v>140</v>
      </c>
      <c r="E69" s="37">
        <f>2835</f>
        <v>2835</v>
      </c>
      <c r="F69" s="37">
        <v>0</v>
      </c>
      <c r="G69" s="37">
        <f t="shared" si="2"/>
        <v>2835</v>
      </c>
      <c r="H69" s="38" t="s">
        <v>141</v>
      </c>
      <c r="I69" s="39">
        <v>34020</v>
      </c>
      <c r="J69" s="39">
        <f>11*2835</f>
        <v>31185</v>
      </c>
      <c r="K69" s="41">
        <v>40544</v>
      </c>
      <c r="L69" s="41" t="s">
        <v>67</v>
      </c>
      <c r="M69" s="38" t="s">
        <v>26</v>
      </c>
      <c r="N69" s="42" t="s">
        <v>27</v>
      </c>
      <c r="O69" s="4"/>
    </row>
    <row r="70" spans="1:15" s="7" customFormat="1" ht="49.5" customHeight="1">
      <c r="A70" s="35">
        <f t="shared" si="3"/>
        <v>68</v>
      </c>
      <c r="B70" s="36" t="s">
        <v>118</v>
      </c>
      <c r="C70" s="36" t="s">
        <v>15</v>
      </c>
      <c r="D70" s="36" t="s">
        <v>248</v>
      </c>
      <c r="E70" s="37">
        <f>2835+2835+2835+2835+2835+5670+2835+2835+2835</f>
        <v>28350</v>
      </c>
      <c r="F70" s="37">
        <v>0</v>
      </c>
      <c r="G70" s="37">
        <f t="shared" si="2"/>
        <v>28350</v>
      </c>
      <c r="H70" s="38" t="s">
        <v>141</v>
      </c>
      <c r="I70" s="39">
        <v>34020</v>
      </c>
      <c r="J70" s="39">
        <v>0</v>
      </c>
      <c r="K70" s="41">
        <v>40544</v>
      </c>
      <c r="L70" s="41" t="s">
        <v>67</v>
      </c>
      <c r="M70" s="38" t="s">
        <v>26</v>
      </c>
      <c r="N70" s="42" t="s">
        <v>27</v>
      </c>
      <c r="O70" s="4"/>
    </row>
    <row r="71" spans="1:15" s="7" customFormat="1" ht="49.5" customHeight="1">
      <c r="A71" s="35">
        <f t="shared" si="3"/>
        <v>69</v>
      </c>
      <c r="B71" s="36" t="s">
        <v>118</v>
      </c>
      <c r="C71" s="36" t="s">
        <v>15</v>
      </c>
      <c r="D71" s="36" t="s">
        <v>234</v>
      </c>
      <c r="E71" s="37">
        <v>0</v>
      </c>
      <c r="F71" s="37">
        <v>0</v>
      </c>
      <c r="G71" s="37">
        <f t="shared" si="2"/>
        <v>0</v>
      </c>
      <c r="H71" s="38" t="s">
        <v>143</v>
      </c>
      <c r="I71" s="39">
        <v>12000</v>
      </c>
      <c r="J71" s="39">
        <v>1000</v>
      </c>
      <c r="K71" s="41">
        <v>40544</v>
      </c>
      <c r="L71" s="41" t="s">
        <v>67</v>
      </c>
      <c r="M71" s="38" t="s">
        <v>26</v>
      </c>
      <c r="N71" s="42" t="s">
        <v>27</v>
      </c>
      <c r="O71" s="4"/>
    </row>
    <row r="72" spans="1:15" s="7" customFormat="1" ht="49.5" customHeight="1">
      <c r="A72" s="35">
        <f t="shared" si="3"/>
        <v>70</v>
      </c>
      <c r="B72" s="36" t="s">
        <v>118</v>
      </c>
      <c r="C72" s="36" t="s">
        <v>10</v>
      </c>
      <c r="D72" s="36" t="s">
        <v>144</v>
      </c>
      <c r="E72" s="37">
        <f>1903.88+1903.88</f>
        <v>3807.76</v>
      </c>
      <c r="F72" s="37">
        <v>0</v>
      </c>
      <c r="G72" s="37">
        <f t="shared" si="2"/>
        <v>3807.76</v>
      </c>
      <c r="H72" s="38" t="s">
        <v>145</v>
      </c>
      <c r="I72" s="39">
        <v>11450</v>
      </c>
      <c r="J72" s="39">
        <v>0</v>
      </c>
      <c r="K72" s="41">
        <v>40544</v>
      </c>
      <c r="L72" s="41" t="s">
        <v>67</v>
      </c>
      <c r="M72" s="38" t="s">
        <v>26</v>
      </c>
      <c r="N72" s="42" t="s">
        <v>27</v>
      </c>
      <c r="O72" s="4"/>
    </row>
    <row r="73" spans="1:15" s="7" customFormat="1" ht="49.5" customHeight="1">
      <c r="A73" s="35">
        <f t="shared" si="3"/>
        <v>71</v>
      </c>
      <c r="B73" s="36" t="s">
        <v>118</v>
      </c>
      <c r="C73" s="36" t="s">
        <v>10</v>
      </c>
      <c r="D73" s="36" t="s">
        <v>249</v>
      </c>
      <c r="E73" s="37">
        <f>1113.57+1113.57+1113.57+1113.57+3017.45+1113.57+999.86+999.86+999.86</f>
        <v>11584.880000000001</v>
      </c>
      <c r="F73" s="37">
        <v>0</v>
      </c>
      <c r="G73" s="37">
        <f t="shared" si="2"/>
        <v>11584.880000000001</v>
      </c>
      <c r="H73" s="38" t="s">
        <v>145</v>
      </c>
      <c r="I73" s="39">
        <v>11450</v>
      </c>
      <c r="J73" s="39">
        <v>0</v>
      </c>
      <c r="K73" s="41">
        <v>40544</v>
      </c>
      <c r="L73" s="41" t="s">
        <v>67</v>
      </c>
      <c r="M73" s="38" t="s">
        <v>26</v>
      </c>
      <c r="N73" s="42" t="s">
        <v>27</v>
      </c>
      <c r="O73" s="4"/>
    </row>
    <row r="74" spans="1:15" s="7" customFormat="1" ht="49.5" customHeight="1">
      <c r="A74" s="35">
        <f t="shared" si="3"/>
        <v>72</v>
      </c>
      <c r="B74" s="36" t="s">
        <v>118</v>
      </c>
      <c r="C74" s="36" t="s">
        <v>146</v>
      </c>
      <c r="D74" s="36" t="s">
        <v>147</v>
      </c>
      <c r="E74" s="37">
        <v>0</v>
      </c>
      <c r="F74" s="37">
        <v>0</v>
      </c>
      <c r="G74" s="37">
        <f t="shared" si="2"/>
        <v>0</v>
      </c>
      <c r="H74" s="38" t="s">
        <v>148</v>
      </c>
      <c r="I74" s="39">
        <v>480000</v>
      </c>
      <c r="J74" s="39">
        <v>480000</v>
      </c>
      <c r="K74" s="41">
        <v>40141</v>
      </c>
      <c r="L74" s="41">
        <v>41049</v>
      </c>
      <c r="M74" s="38" t="s">
        <v>26</v>
      </c>
      <c r="N74" s="42" t="s">
        <v>27</v>
      </c>
      <c r="O74" s="4"/>
    </row>
    <row r="75" spans="1:15" s="7" customFormat="1" ht="49.5" customHeight="1">
      <c r="A75" s="35">
        <f t="shared" si="3"/>
        <v>73</v>
      </c>
      <c r="B75" s="36" t="s">
        <v>149</v>
      </c>
      <c r="C75" s="36" t="s">
        <v>150</v>
      </c>
      <c r="D75" s="36" t="s">
        <v>151</v>
      </c>
      <c r="E75" s="37">
        <v>0</v>
      </c>
      <c r="F75" s="37">
        <v>0</v>
      </c>
      <c r="G75" s="37">
        <f t="shared" si="2"/>
        <v>0</v>
      </c>
      <c r="H75" s="38" t="s">
        <v>152</v>
      </c>
      <c r="I75" s="39">
        <v>1800000</v>
      </c>
      <c r="J75" s="39">
        <v>1080000</v>
      </c>
      <c r="K75" s="41">
        <v>40638</v>
      </c>
      <c r="L75" s="41">
        <v>41002</v>
      </c>
      <c r="M75" s="38" t="s">
        <v>26</v>
      </c>
      <c r="N75" s="42" t="s">
        <v>68</v>
      </c>
      <c r="O75" s="4"/>
    </row>
    <row r="76" spans="1:15" s="7" customFormat="1" ht="49.5" customHeight="1">
      <c r="A76" s="35">
        <f t="shared" si="3"/>
        <v>74</v>
      </c>
      <c r="B76" s="36" t="s">
        <v>153</v>
      </c>
      <c r="C76" s="36" t="s">
        <v>154</v>
      </c>
      <c r="D76" s="36" t="s">
        <v>155</v>
      </c>
      <c r="E76" s="37">
        <v>0</v>
      </c>
      <c r="F76" s="37">
        <v>0</v>
      </c>
      <c r="G76" s="37">
        <f t="shared" si="2"/>
        <v>0</v>
      </c>
      <c r="H76" s="38" t="s">
        <v>156</v>
      </c>
      <c r="I76" s="39">
        <v>5860725</v>
      </c>
      <c r="J76" s="39">
        <v>5860725</v>
      </c>
      <c r="K76" s="41">
        <v>38884</v>
      </c>
      <c r="L76" s="41">
        <v>40451</v>
      </c>
      <c r="M76" s="38" t="s">
        <v>26</v>
      </c>
      <c r="N76" s="42" t="s">
        <v>27</v>
      </c>
      <c r="O76" s="4"/>
    </row>
    <row r="77" spans="1:14" s="4" customFormat="1" ht="49.5" customHeight="1">
      <c r="A77" s="35">
        <f t="shared" si="3"/>
        <v>75</v>
      </c>
      <c r="B77" s="36" t="s">
        <v>153</v>
      </c>
      <c r="C77" s="36" t="s">
        <v>154</v>
      </c>
      <c r="D77" s="36" t="s">
        <v>157</v>
      </c>
      <c r="E77" s="37">
        <f>723449.59+353122.79+112433.15+134435.75+243087.79</f>
        <v>1566529.0699999998</v>
      </c>
      <c r="F77" s="37">
        <v>0</v>
      </c>
      <c r="G77" s="37">
        <f t="shared" si="2"/>
        <v>1566529.0699999998</v>
      </c>
      <c r="H77" s="38" t="s">
        <v>158</v>
      </c>
      <c r="I77" s="39">
        <v>4900000</v>
      </c>
      <c r="J77" s="39">
        <f>571422.36+2000142.18</f>
        <v>2571564.54</v>
      </c>
      <c r="K77" s="41">
        <v>39447</v>
      </c>
      <c r="L77" s="41">
        <v>40482</v>
      </c>
      <c r="M77" s="38" t="s">
        <v>159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153</v>
      </c>
      <c r="C78" s="36" t="s">
        <v>154</v>
      </c>
      <c r="D78" s="36" t="s">
        <v>160</v>
      </c>
      <c r="E78" s="37">
        <v>0</v>
      </c>
      <c r="F78" s="37">
        <v>0</v>
      </c>
      <c r="G78" s="37">
        <f t="shared" si="2"/>
        <v>0</v>
      </c>
      <c r="H78" s="38" t="s">
        <v>161</v>
      </c>
      <c r="I78" s="39">
        <v>8195570</v>
      </c>
      <c r="J78" s="39">
        <f>827000+110901.25+287371.7</f>
        <v>1225272.95</v>
      </c>
      <c r="K78" s="41">
        <v>39447</v>
      </c>
      <c r="L78" s="41">
        <v>40471</v>
      </c>
      <c r="M78" s="38" t="s">
        <v>159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153</v>
      </c>
      <c r="C79" s="36" t="s">
        <v>162</v>
      </c>
      <c r="D79" s="36" t="s">
        <v>163</v>
      </c>
      <c r="E79" s="37">
        <v>0</v>
      </c>
      <c r="F79" s="37">
        <v>0</v>
      </c>
      <c r="G79" s="37">
        <f t="shared" si="2"/>
        <v>0</v>
      </c>
      <c r="H79" s="38" t="s">
        <v>164</v>
      </c>
      <c r="I79" s="39">
        <v>394200</v>
      </c>
      <c r="J79" s="39">
        <v>394200</v>
      </c>
      <c r="K79" s="41">
        <v>40528</v>
      </c>
      <c r="L79" s="41">
        <v>41455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153</v>
      </c>
      <c r="C80" s="36" t="s">
        <v>162</v>
      </c>
      <c r="D80" s="36" t="s">
        <v>165</v>
      </c>
      <c r="E80" s="37">
        <v>57311.33</v>
      </c>
      <c r="F80" s="37">
        <v>0</v>
      </c>
      <c r="G80" s="37">
        <f t="shared" si="2"/>
        <v>57311.33</v>
      </c>
      <c r="H80" s="38" t="s">
        <v>166</v>
      </c>
      <c r="I80" s="39">
        <v>255740</v>
      </c>
      <c r="J80" s="39">
        <v>86491.27</v>
      </c>
      <c r="K80" s="41">
        <v>40528</v>
      </c>
      <c r="L80" s="41">
        <v>41455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153</v>
      </c>
      <c r="C81" s="36" t="s">
        <v>162</v>
      </c>
      <c r="D81" s="36" t="s">
        <v>167</v>
      </c>
      <c r="E81" s="37">
        <v>0</v>
      </c>
      <c r="F81" s="37">
        <v>0</v>
      </c>
      <c r="G81" s="37">
        <f t="shared" si="2"/>
        <v>0</v>
      </c>
      <c r="H81" s="38" t="s">
        <v>168</v>
      </c>
      <c r="I81" s="39">
        <v>295300</v>
      </c>
      <c r="J81" s="39">
        <v>103414.06</v>
      </c>
      <c r="K81" s="41">
        <v>40528</v>
      </c>
      <c r="L81" s="41">
        <v>41455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153</v>
      </c>
      <c r="C82" s="36" t="s">
        <v>162</v>
      </c>
      <c r="D82" s="36" t="s">
        <v>169</v>
      </c>
      <c r="E82" s="37">
        <v>0</v>
      </c>
      <c r="F82" s="37">
        <v>0</v>
      </c>
      <c r="G82" s="37">
        <f t="shared" si="2"/>
        <v>0</v>
      </c>
      <c r="H82" s="38" t="s">
        <v>170</v>
      </c>
      <c r="I82" s="39">
        <v>245850</v>
      </c>
      <c r="J82" s="39">
        <v>85383.7</v>
      </c>
      <c r="K82" s="41">
        <v>40528</v>
      </c>
      <c r="L82" s="41">
        <v>41455</v>
      </c>
      <c r="M82" s="38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153</v>
      </c>
      <c r="C83" s="36" t="s">
        <v>327</v>
      </c>
      <c r="D83" s="36" t="s">
        <v>328</v>
      </c>
      <c r="E83" s="37">
        <v>68883.6</v>
      </c>
      <c r="F83" s="37">
        <v>0</v>
      </c>
      <c r="G83" s="37">
        <f t="shared" si="2"/>
        <v>68883.6</v>
      </c>
      <c r="H83" s="38" t="s">
        <v>329</v>
      </c>
      <c r="I83" s="39">
        <v>145324.06</v>
      </c>
      <c r="J83" s="39">
        <v>0</v>
      </c>
      <c r="K83" s="41">
        <v>40529</v>
      </c>
      <c r="L83" s="41">
        <v>41363</v>
      </c>
      <c r="M83" s="38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153</v>
      </c>
      <c r="C84" s="36" t="s">
        <v>304</v>
      </c>
      <c r="D84" s="36" t="s">
        <v>305</v>
      </c>
      <c r="E84" s="37">
        <v>200000</v>
      </c>
      <c r="F84" s="37">
        <v>0</v>
      </c>
      <c r="G84" s="37">
        <f t="shared" si="2"/>
        <v>200000</v>
      </c>
      <c r="H84" s="38" t="s">
        <v>306</v>
      </c>
      <c r="I84" s="39">
        <v>400000</v>
      </c>
      <c r="J84" s="39">
        <v>0</v>
      </c>
      <c r="K84" s="41">
        <v>40529</v>
      </c>
      <c r="L84" s="41">
        <v>41273</v>
      </c>
      <c r="M84" s="38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171</v>
      </c>
      <c r="C85" s="36" t="s">
        <v>172</v>
      </c>
      <c r="D85" s="36" t="s">
        <v>173</v>
      </c>
      <c r="E85" s="37">
        <v>47677.5</v>
      </c>
      <c r="F85" s="37">
        <v>0</v>
      </c>
      <c r="G85" s="37">
        <f t="shared" si="2"/>
        <v>47677.5</v>
      </c>
      <c r="H85" s="38" t="s">
        <v>174</v>
      </c>
      <c r="I85" s="39">
        <v>97500</v>
      </c>
      <c r="J85" s="39">
        <v>48750</v>
      </c>
      <c r="K85" s="41">
        <v>40057</v>
      </c>
      <c r="L85" s="41">
        <v>40452</v>
      </c>
      <c r="M85" s="38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175</v>
      </c>
      <c r="C86" s="36" t="s">
        <v>176</v>
      </c>
      <c r="D86" s="36" t="s">
        <v>177</v>
      </c>
      <c r="E86" s="37">
        <v>0</v>
      </c>
      <c r="F86" s="37">
        <v>0</v>
      </c>
      <c r="G86" s="37">
        <f t="shared" si="2"/>
        <v>0</v>
      </c>
      <c r="H86" s="38" t="s">
        <v>178</v>
      </c>
      <c r="I86" s="39">
        <v>146250</v>
      </c>
      <c r="J86" s="39">
        <v>146250</v>
      </c>
      <c r="K86" s="41">
        <v>39812</v>
      </c>
      <c r="L86" s="41">
        <v>40663</v>
      </c>
      <c r="M86" s="38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175</v>
      </c>
      <c r="C87" s="36" t="s">
        <v>176</v>
      </c>
      <c r="D87" s="36" t="s">
        <v>179</v>
      </c>
      <c r="E87" s="37">
        <v>0</v>
      </c>
      <c r="F87" s="37">
        <v>70825</v>
      </c>
      <c r="G87" s="37">
        <f t="shared" si="2"/>
        <v>70825</v>
      </c>
      <c r="H87" s="38" t="s">
        <v>180</v>
      </c>
      <c r="I87" s="39">
        <v>254104.34</v>
      </c>
      <c r="J87" s="39">
        <v>254104.34</v>
      </c>
      <c r="K87" s="41">
        <v>40361</v>
      </c>
      <c r="L87" s="41">
        <v>40723</v>
      </c>
      <c r="M87" s="38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36" t="s">
        <v>182</v>
      </c>
      <c r="D88" s="36" t="s">
        <v>236</v>
      </c>
      <c r="E88" s="37">
        <f>24192.64+24192.64</f>
        <v>48385.28</v>
      </c>
      <c r="F88" s="37">
        <v>0</v>
      </c>
      <c r="G88" s="37">
        <f t="shared" si="2"/>
        <v>48385.28</v>
      </c>
      <c r="H88" s="38" t="s">
        <v>307</v>
      </c>
      <c r="I88" s="39">
        <v>72000</v>
      </c>
      <c r="J88" s="39">
        <v>71997.99</v>
      </c>
      <c r="K88" s="41">
        <v>40544</v>
      </c>
      <c r="L88" s="41" t="s">
        <v>67</v>
      </c>
      <c r="M88" s="38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36" t="s">
        <v>185</v>
      </c>
      <c r="D89" s="36" t="s">
        <v>237</v>
      </c>
      <c r="E89" s="37">
        <f>25000+25000+25000+7954.57</f>
        <v>82954.57</v>
      </c>
      <c r="F89" s="37">
        <v>0</v>
      </c>
      <c r="G89" s="37">
        <f t="shared" si="2"/>
        <v>82954.57</v>
      </c>
      <c r="H89" s="38" t="s">
        <v>308</v>
      </c>
      <c r="I89" s="39">
        <v>105000</v>
      </c>
      <c r="J89" s="39">
        <v>82954.57</v>
      </c>
      <c r="K89" s="41">
        <v>40544</v>
      </c>
      <c r="L89" s="41" t="s">
        <v>67</v>
      </c>
      <c r="M89" s="38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36" t="s">
        <v>188</v>
      </c>
      <c r="D90" s="36" t="s">
        <v>336</v>
      </c>
      <c r="E90" s="37">
        <v>500000</v>
      </c>
      <c r="F90" s="37">
        <v>0</v>
      </c>
      <c r="G90" s="37">
        <f t="shared" si="2"/>
        <v>500000</v>
      </c>
      <c r="H90" s="38" t="s">
        <v>309</v>
      </c>
      <c r="I90" s="39">
        <v>2000000</v>
      </c>
      <c r="J90" s="39">
        <f>200000+1300000</f>
        <v>1500000</v>
      </c>
      <c r="K90" s="41">
        <v>40057</v>
      </c>
      <c r="L90" s="41" t="s">
        <v>67</v>
      </c>
      <c r="M90" s="38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36" t="s">
        <v>191</v>
      </c>
      <c r="D91" s="36" t="s">
        <v>250</v>
      </c>
      <c r="E91" s="37">
        <f>8800+17600+8800+8800+8800+8800+8800+8800+8800+8800</f>
        <v>96800</v>
      </c>
      <c r="F91" s="37">
        <v>0</v>
      </c>
      <c r="G91" s="37">
        <f t="shared" si="2"/>
        <v>96800</v>
      </c>
      <c r="H91" s="38" t="s">
        <v>310</v>
      </c>
      <c r="I91" s="39">
        <v>105600</v>
      </c>
      <c r="J91" s="39">
        <v>88000</v>
      </c>
      <c r="K91" s="41">
        <v>40544</v>
      </c>
      <c r="L91" s="41" t="s">
        <v>67</v>
      </c>
      <c r="M91" s="38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36" t="s">
        <v>311</v>
      </c>
      <c r="D92" s="36" t="s">
        <v>312</v>
      </c>
      <c r="E92" s="37">
        <f>160000+40000+40000+40000</f>
        <v>280000</v>
      </c>
      <c r="F92" s="37">
        <v>0</v>
      </c>
      <c r="G92" s="37">
        <f t="shared" si="2"/>
        <v>280000</v>
      </c>
      <c r="H92" s="38" t="s">
        <v>310</v>
      </c>
      <c r="I92" s="39">
        <v>480000</v>
      </c>
      <c r="J92" s="39">
        <v>0</v>
      </c>
      <c r="K92" s="41">
        <v>40909</v>
      </c>
      <c r="L92" s="41" t="s">
        <v>67</v>
      </c>
      <c r="M92" s="38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36" t="s">
        <v>337</v>
      </c>
      <c r="D93" s="36" t="s">
        <v>338</v>
      </c>
      <c r="E93" s="37">
        <v>700000</v>
      </c>
      <c r="F93" s="37">
        <v>2800000</v>
      </c>
      <c r="G93" s="37">
        <f t="shared" si="2"/>
        <v>3500000</v>
      </c>
      <c r="H93" s="38" t="s">
        <v>339</v>
      </c>
      <c r="I93" s="39">
        <v>2100000</v>
      </c>
      <c r="J93" s="39">
        <v>0</v>
      </c>
      <c r="K93" s="41">
        <v>40969</v>
      </c>
      <c r="L93" s="41" t="s">
        <v>67</v>
      </c>
      <c r="M93" s="38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194</v>
      </c>
      <c r="D94" s="36" t="s">
        <v>251</v>
      </c>
      <c r="E94" s="37">
        <f>96652.2+32217.4+32217.4+64434.8+32217.4+32217.4+32217.4+32217.4</f>
        <v>354391.4</v>
      </c>
      <c r="F94" s="37">
        <v>0</v>
      </c>
      <c r="G94" s="37">
        <f t="shared" si="2"/>
        <v>354391.4</v>
      </c>
      <c r="H94" s="44" t="s">
        <v>196</v>
      </c>
      <c r="I94" s="45">
        <v>386608.8</v>
      </c>
      <c r="J94" s="45">
        <v>354391.4</v>
      </c>
      <c r="K94" s="41">
        <v>40544</v>
      </c>
      <c r="L94" s="41" t="s">
        <v>67</v>
      </c>
      <c r="M94" s="46" t="s">
        <v>26</v>
      </c>
      <c r="N94" s="42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36" t="s">
        <v>185</v>
      </c>
      <c r="D95" s="36" t="s">
        <v>197</v>
      </c>
      <c r="E95" s="37">
        <f>36000+36000</f>
        <v>72000</v>
      </c>
      <c r="F95" s="37">
        <v>0</v>
      </c>
      <c r="G95" s="37">
        <f t="shared" si="2"/>
        <v>72000</v>
      </c>
      <c r="H95" s="44" t="s">
        <v>184</v>
      </c>
      <c r="I95" s="45">
        <v>36000</v>
      </c>
      <c r="J95" s="45">
        <v>0</v>
      </c>
      <c r="K95" s="41">
        <v>40544</v>
      </c>
      <c r="L95" s="41" t="s">
        <v>67</v>
      </c>
      <c r="M95" s="46" t="s">
        <v>26</v>
      </c>
      <c r="N95" s="42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36" t="s">
        <v>185</v>
      </c>
      <c r="D96" s="36" t="s">
        <v>198</v>
      </c>
      <c r="E96" s="37">
        <f>4407.62+71493.36+72156.88+23104.62+72156.88</f>
        <v>243319.36</v>
      </c>
      <c r="F96" s="37">
        <v>0</v>
      </c>
      <c r="G96" s="37">
        <f t="shared" si="2"/>
        <v>243319.36</v>
      </c>
      <c r="H96" s="44" t="s">
        <v>184</v>
      </c>
      <c r="I96" s="45">
        <v>245000</v>
      </c>
      <c r="J96" s="45">
        <v>237337.58</v>
      </c>
      <c r="K96" s="41">
        <v>40544</v>
      </c>
      <c r="L96" s="41" t="s">
        <v>67</v>
      </c>
      <c r="M96" s="46" t="s">
        <v>26</v>
      </c>
      <c r="N96" s="42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36" t="s">
        <v>199</v>
      </c>
      <c r="D97" s="36" t="s">
        <v>200</v>
      </c>
      <c r="E97" s="37">
        <v>0</v>
      </c>
      <c r="F97" s="37">
        <v>0</v>
      </c>
      <c r="G97" s="37">
        <f t="shared" si="2"/>
        <v>0</v>
      </c>
      <c r="H97" s="44" t="s">
        <v>201</v>
      </c>
      <c r="I97" s="45">
        <v>95000</v>
      </c>
      <c r="J97" s="45">
        <v>95000</v>
      </c>
      <c r="K97" s="41">
        <v>40483</v>
      </c>
      <c r="L97" s="41" t="s">
        <v>67</v>
      </c>
      <c r="M97" s="46" t="s">
        <v>26</v>
      </c>
      <c r="N97" s="42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36" t="s">
        <v>199</v>
      </c>
      <c r="D98" s="36" t="s">
        <v>202</v>
      </c>
      <c r="E98" s="37">
        <v>0</v>
      </c>
      <c r="F98" s="37">
        <v>0</v>
      </c>
      <c r="G98" s="37">
        <f t="shared" si="2"/>
        <v>0</v>
      </c>
      <c r="H98" s="44" t="s">
        <v>201</v>
      </c>
      <c r="I98" s="45">
        <v>30000</v>
      </c>
      <c r="J98" s="37">
        <v>30000</v>
      </c>
      <c r="K98" s="41">
        <v>40483</v>
      </c>
      <c r="L98" s="41" t="s">
        <v>67</v>
      </c>
      <c r="M98" s="46" t="s">
        <v>26</v>
      </c>
      <c r="N98" s="42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36" t="s">
        <v>199</v>
      </c>
      <c r="D99" s="36" t="s">
        <v>203</v>
      </c>
      <c r="E99" s="37">
        <v>1950</v>
      </c>
      <c r="F99" s="37">
        <v>0</v>
      </c>
      <c r="G99" s="37">
        <f t="shared" si="2"/>
        <v>1950</v>
      </c>
      <c r="H99" s="44" t="s">
        <v>201</v>
      </c>
      <c r="I99" s="45">
        <v>1950</v>
      </c>
      <c r="J99" s="37">
        <v>0</v>
      </c>
      <c r="K99" s="41">
        <v>40878</v>
      </c>
      <c r="L99" s="41" t="s">
        <v>67</v>
      </c>
      <c r="M99" s="46" t="s">
        <v>26</v>
      </c>
      <c r="N99" s="42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36" t="s">
        <v>204</v>
      </c>
      <c r="D100" s="36" t="s">
        <v>205</v>
      </c>
      <c r="E100" s="37">
        <v>0</v>
      </c>
      <c r="F100" s="37">
        <v>0</v>
      </c>
      <c r="G100" s="37">
        <f t="shared" si="2"/>
        <v>0</v>
      </c>
      <c r="H100" s="44" t="s">
        <v>206</v>
      </c>
      <c r="I100" s="45">
        <v>266666.7</v>
      </c>
      <c r="J100" s="37">
        <v>26666.67</v>
      </c>
      <c r="K100" s="41">
        <v>40544</v>
      </c>
      <c r="L100" s="41" t="s">
        <v>67</v>
      </c>
      <c r="M100" s="46" t="s">
        <v>26</v>
      </c>
      <c r="N100" s="42" t="s">
        <v>27</v>
      </c>
    </row>
    <row r="101" spans="1:14" s="4" customFormat="1" ht="49.5" customHeight="1">
      <c r="A101" s="35">
        <f t="shared" si="3"/>
        <v>99</v>
      </c>
      <c r="B101" s="36" t="s">
        <v>181</v>
      </c>
      <c r="C101" s="36" t="s">
        <v>204</v>
      </c>
      <c r="D101" s="36" t="s">
        <v>207</v>
      </c>
      <c r="E101" s="37">
        <v>0</v>
      </c>
      <c r="F101" s="37">
        <v>0</v>
      </c>
      <c r="G101" s="37">
        <f t="shared" si="2"/>
        <v>0</v>
      </c>
      <c r="H101" s="44" t="s">
        <v>208</v>
      </c>
      <c r="I101" s="45">
        <v>200000</v>
      </c>
      <c r="J101" s="37">
        <v>20000</v>
      </c>
      <c r="K101" s="41">
        <v>40544</v>
      </c>
      <c r="L101" s="41" t="s">
        <v>67</v>
      </c>
      <c r="M101" s="46" t="s">
        <v>26</v>
      </c>
      <c r="N101" s="42" t="s">
        <v>27</v>
      </c>
    </row>
    <row r="102" spans="1:14" s="4" customFormat="1" ht="49.5" customHeight="1">
      <c r="A102" s="35">
        <f t="shared" si="3"/>
        <v>100</v>
      </c>
      <c r="B102" s="36" t="s">
        <v>181</v>
      </c>
      <c r="C102" s="36" t="s">
        <v>204</v>
      </c>
      <c r="D102" s="36" t="s">
        <v>209</v>
      </c>
      <c r="E102" s="37">
        <v>0</v>
      </c>
      <c r="F102" s="37">
        <v>0</v>
      </c>
      <c r="G102" s="37">
        <f t="shared" si="2"/>
        <v>0</v>
      </c>
      <c r="H102" s="44" t="s">
        <v>210</v>
      </c>
      <c r="I102" s="45">
        <v>400000</v>
      </c>
      <c r="J102" s="37">
        <v>40000</v>
      </c>
      <c r="K102" s="41">
        <v>40544</v>
      </c>
      <c r="L102" s="41" t="s">
        <v>67</v>
      </c>
      <c r="M102" s="46" t="s">
        <v>26</v>
      </c>
      <c r="N102" s="42" t="s">
        <v>27</v>
      </c>
    </row>
    <row r="103" spans="1:14" s="4" customFormat="1" ht="49.5" customHeight="1">
      <c r="A103" s="35">
        <f t="shared" si="3"/>
        <v>101</v>
      </c>
      <c r="B103" s="36" t="s">
        <v>181</v>
      </c>
      <c r="C103" s="36" t="s">
        <v>204</v>
      </c>
      <c r="D103" s="36" t="s">
        <v>211</v>
      </c>
      <c r="E103" s="37">
        <v>0</v>
      </c>
      <c r="F103" s="37">
        <v>0</v>
      </c>
      <c r="G103" s="37">
        <f t="shared" si="2"/>
        <v>0</v>
      </c>
      <c r="H103" s="44" t="s">
        <v>212</v>
      </c>
      <c r="I103" s="45">
        <v>200000</v>
      </c>
      <c r="J103" s="37">
        <v>20000</v>
      </c>
      <c r="K103" s="41">
        <v>40544</v>
      </c>
      <c r="L103" s="41" t="s">
        <v>67</v>
      </c>
      <c r="M103" s="46" t="s">
        <v>26</v>
      </c>
      <c r="N103" s="42" t="s">
        <v>27</v>
      </c>
    </row>
    <row r="104" spans="1:14" s="4" customFormat="1" ht="49.5" customHeight="1">
      <c r="A104" s="35">
        <f t="shared" si="3"/>
        <v>102</v>
      </c>
      <c r="B104" s="36" t="s">
        <v>181</v>
      </c>
      <c r="C104" s="36" t="s">
        <v>204</v>
      </c>
      <c r="D104" s="36" t="s">
        <v>213</v>
      </c>
      <c r="E104" s="37">
        <v>0</v>
      </c>
      <c r="F104" s="37">
        <v>0</v>
      </c>
      <c r="G104" s="37">
        <f t="shared" si="2"/>
        <v>0</v>
      </c>
      <c r="H104" s="44" t="s">
        <v>214</v>
      </c>
      <c r="I104" s="45">
        <v>200000</v>
      </c>
      <c r="J104" s="37">
        <v>20000</v>
      </c>
      <c r="K104" s="41">
        <v>40544</v>
      </c>
      <c r="L104" s="41" t="s">
        <v>67</v>
      </c>
      <c r="M104" s="46" t="s">
        <v>26</v>
      </c>
      <c r="N104" s="42" t="s">
        <v>27</v>
      </c>
    </row>
    <row r="105" spans="1:14" s="4" customFormat="1" ht="49.5" customHeight="1">
      <c r="A105" s="35">
        <f t="shared" si="3"/>
        <v>103</v>
      </c>
      <c r="B105" s="36" t="s">
        <v>181</v>
      </c>
      <c r="C105" s="36" t="s">
        <v>252</v>
      </c>
      <c r="D105" s="36" t="s">
        <v>253</v>
      </c>
      <c r="E105" s="37">
        <v>36000</v>
      </c>
      <c r="F105" s="37">
        <v>0</v>
      </c>
      <c r="G105" s="37">
        <f t="shared" si="2"/>
        <v>36000</v>
      </c>
      <c r="H105" s="44" t="s">
        <v>254</v>
      </c>
      <c r="I105" s="45">
        <v>180000</v>
      </c>
      <c r="J105" s="37">
        <v>0</v>
      </c>
      <c r="K105" s="41">
        <v>40909</v>
      </c>
      <c r="L105" s="41" t="s">
        <v>67</v>
      </c>
      <c r="M105" s="46" t="s">
        <v>26</v>
      </c>
      <c r="N105" s="42" t="s">
        <v>27</v>
      </c>
    </row>
    <row r="106" spans="1:14" s="4" customFormat="1" ht="49.5" customHeight="1">
      <c r="A106" s="35">
        <f t="shared" si="3"/>
        <v>104</v>
      </c>
      <c r="B106" s="36" t="s">
        <v>181</v>
      </c>
      <c r="C106" s="36" t="s">
        <v>286</v>
      </c>
      <c r="D106" s="36" t="s">
        <v>287</v>
      </c>
      <c r="E106" s="37">
        <v>14070</v>
      </c>
      <c r="F106" s="37">
        <v>0</v>
      </c>
      <c r="G106" s="37">
        <f t="shared" si="2"/>
        <v>14070</v>
      </c>
      <c r="H106" s="44" t="s">
        <v>288</v>
      </c>
      <c r="I106" s="45">
        <v>70350</v>
      </c>
      <c r="J106" s="37">
        <v>0</v>
      </c>
      <c r="K106" s="41">
        <v>41085</v>
      </c>
      <c r="L106" s="41">
        <v>41639</v>
      </c>
      <c r="M106" s="46" t="s">
        <v>26</v>
      </c>
      <c r="N106" s="42" t="s">
        <v>27</v>
      </c>
    </row>
    <row r="107" spans="1:14" s="4" customFormat="1" ht="49.5" customHeight="1" thickBot="1">
      <c r="A107" s="48">
        <f t="shared" si="3"/>
        <v>105</v>
      </c>
      <c r="B107" s="49" t="s">
        <v>181</v>
      </c>
      <c r="C107" s="49" t="s">
        <v>286</v>
      </c>
      <c r="D107" s="49" t="s">
        <v>289</v>
      </c>
      <c r="E107" s="50">
        <v>25905</v>
      </c>
      <c r="F107" s="50">
        <v>0</v>
      </c>
      <c r="G107" s="50">
        <f t="shared" si="2"/>
        <v>25905</v>
      </c>
      <c r="H107" s="51" t="s">
        <v>290</v>
      </c>
      <c r="I107" s="52">
        <v>129525</v>
      </c>
      <c r="J107" s="50">
        <v>0</v>
      </c>
      <c r="K107" s="54">
        <v>41085</v>
      </c>
      <c r="L107" s="54">
        <v>41639</v>
      </c>
      <c r="M107" s="55" t="s">
        <v>26</v>
      </c>
      <c r="N107" s="56" t="s">
        <v>27</v>
      </c>
    </row>
    <row r="108" spans="1:14" s="4" customFormat="1" ht="49.5" customHeight="1" thickBot="1" thickTop="1">
      <c r="A108" s="9"/>
      <c r="B108" s="10"/>
      <c r="C108" s="10"/>
      <c r="D108" s="71" t="s">
        <v>215</v>
      </c>
      <c r="E108" s="72">
        <f>SUM(E3:E107)</f>
        <v>16377116.12</v>
      </c>
      <c r="F108" s="72">
        <f>SUM(F3:F107)</f>
        <v>3656766.7</v>
      </c>
      <c r="G108" s="73">
        <f>SUM(G3:G107)</f>
        <v>20033882.82</v>
      </c>
      <c r="H108" s="10"/>
      <c r="I108" s="10"/>
      <c r="J108" s="10"/>
      <c r="K108" s="10"/>
      <c r="L108" s="11"/>
      <c r="M108" s="10"/>
      <c r="N108" s="12"/>
    </row>
    <row r="109" ht="13.5" thickTop="1"/>
    <row r="110" spans="1:14" s="15" customFormat="1" ht="12.75">
      <c r="A110" s="13"/>
      <c r="B110" s="14"/>
      <c r="C110" s="14"/>
      <c r="D110" s="25" t="s">
        <v>340</v>
      </c>
      <c r="E110" s="25"/>
      <c r="F110" s="25"/>
      <c r="G110" s="25"/>
      <c r="K110" s="14"/>
      <c r="L110" s="16"/>
      <c r="M110" s="14"/>
      <c r="N110" s="17"/>
    </row>
    <row r="111" spans="2:13" s="15" customFormat="1" ht="12.75">
      <c r="B111" s="22"/>
      <c r="C111" s="22"/>
      <c r="E111" s="22"/>
      <c r="F111" s="22"/>
      <c r="G111" s="22"/>
      <c r="K111" s="22"/>
      <c r="L111" s="22"/>
      <c r="M111" s="22"/>
    </row>
    <row r="112" spans="1:14" s="15" customFormat="1" ht="12.75">
      <c r="A112" s="20"/>
      <c r="B112" s="24" t="s">
        <v>221</v>
      </c>
      <c r="C112" s="24"/>
      <c r="E112" s="23" t="s">
        <v>222</v>
      </c>
      <c r="F112" s="23"/>
      <c r="G112" s="23"/>
      <c r="K112" s="23" t="s">
        <v>223</v>
      </c>
      <c r="L112" s="23"/>
      <c r="M112" s="23"/>
      <c r="N112" s="19"/>
    </row>
    <row r="113" spans="1:14" s="15" customFormat="1" ht="12.75">
      <c r="A113" s="21"/>
      <c r="B113" s="18" t="s">
        <v>224</v>
      </c>
      <c r="C113" s="18"/>
      <c r="E113" s="18" t="s">
        <v>225</v>
      </c>
      <c r="F113" s="18"/>
      <c r="G113" s="18"/>
      <c r="K113" s="18" t="s">
        <v>226</v>
      </c>
      <c r="L113" s="18"/>
      <c r="M113" s="18"/>
      <c r="N113" s="19"/>
    </row>
  </sheetData>
  <sheetProtection selectLockedCells="1" selectUnlockedCells="1"/>
  <mergeCells count="11">
    <mergeCell ref="B113:C113"/>
    <mergeCell ref="E113:G113"/>
    <mergeCell ref="K113:M113"/>
    <mergeCell ref="A1:N1"/>
    <mergeCell ref="D110:G110"/>
    <mergeCell ref="B111:C111"/>
    <mergeCell ref="E111:G111"/>
    <mergeCell ref="K111:M111"/>
    <mergeCell ref="B112:C112"/>
    <mergeCell ref="E112:G112"/>
    <mergeCell ref="K112:M112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45" max="13" man="1"/>
    <brk id="60" max="13" man="1"/>
    <brk id="9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GridLines="0" tabSelected="1" zoomScalePageLayoutView="0" workbookViewId="0" topLeftCell="A112">
      <selection activeCell="H129" sqref="H12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341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80" t="s">
        <v>315</v>
      </c>
      <c r="C3" s="80" t="s">
        <v>316</v>
      </c>
      <c r="D3" s="80" t="s">
        <v>317</v>
      </c>
      <c r="E3" s="28">
        <v>1063.57</v>
      </c>
      <c r="F3" s="28">
        <v>0</v>
      </c>
      <c r="G3" s="28">
        <f aca="true" t="shared" si="0" ref="G3:G66">E3+F3</f>
        <v>1063.57</v>
      </c>
      <c r="H3" s="29" t="s">
        <v>318</v>
      </c>
      <c r="I3" s="30">
        <f>G3</f>
        <v>1063.57</v>
      </c>
      <c r="J3" s="28">
        <v>0</v>
      </c>
      <c r="K3" s="32">
        <v>38681</v>
      </c>
      <c r="L3" s="32">
        <v>41274</v>
      </c>
      <c r="M3" s="33" t="s">
        <v>319</v>
      </c>
      <c r="N3" s="34" t="s">
        <v>68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10</v>
      </c>
      <c r="D4" s="36" t="s">
        <v>11</v>
      </c>
      <c r="E4" s="37">
        <v>8415</v>
      </c>
      <c r="F4" s="37">
        <v>0</v>
      </c>
      <c r="G4" s="37">
        <f t="shared" si="0"/>
        <v>8415</v>
      </c>
      <c r="H4" s="44" t="s">
        <v>12</v>
      </c>
      <c r="I4" s="45">
        <f>12*8415</f>
        <v>100980</v>
      </c>
      <c r="J4" s="37">
        <f>25245+16830+8415+33660+8415</f>
        <v>92565</v>
      </c>
      <c r="K4" s="41">
        <v>40545</v>
      </c>
      <c r="L4" s="41">
        <v>40908</v>
      </c>
      <c r="M4" s="38" t="s">
        <v>13</v>
      </c>
      <c r="N4" s="42" t="s">
        <v>294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15</v>
      </c>
      <c r="D5" s="36" t="s">
        <v>11</v>
      </c>
      <c r="E5" s="37">
        <v>7150</v>
      </c>
      <c r="F5" s="37">
        <v>0</v>
      </c>
      <c r="G5" s="37">
        <f t="shared" si="0"/>
        <v>7150</v>
      </c>
      <c r="H5" s="38" t="s">
        <v>16</v>
      </c>
      <c r="I5" s="39">
        <f>7150*12</f>
        <v>85800</v>
      </c>
      <c r="J5" s="37">
        <f>21450+14300+7150+28600+7150</f>
        <v>78650</v>
      </c>
      <c r="K5" s="41">
        <v>40545</v>
      </c>
      <c r="L5" s="41">
        <v>40908</v>
      </c>
      <c r="M5" s="38" t="s">
        <v>13</v>
      </c>
      <c r="N5" s="42" t="s">
        <v>294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10</v>
      </c>
      <c r="D6" s="36" t="s">
        <v>11</v>
      </c>
      <c r="E6" s="37">
        <f>33660+16830+8415+16830+8415+8415</f>
        <v>92565</v>
      </c>
      <c r="F6" s="37">
        <v>0</v>
      </c>
      <c r="G6" s="37">
        <f t="shared" si="0"/>
        <v>92565</v>
      </c>
      <c r="H6" s="44" t="s">
        <v>12</v>
      </c>
      <c r="I6" s="45">
        <f>12*8415</f>
        <v>100980</v>
      </c>
      <c r="J6" s="37">
        <v>0</v>
      </c>
      <c r="K6" s="41">
        <v>40910</v>
      </c>
      <c r="L6" s="41">
        <v>41274</v>
      </c>
      <c r="M6" s="38" t="s">
        <v>285</v>
      </c>
      <c r="N6" s="42" t="s">
        <v>294</v>
      </c>
    </row>
    <row r="7" spans="1:14" s="4" customFormat="1" ht="49.5" customHeight="1">
      <c r="A7" s="35">
        <f t="shared" si="1"/>
        <v>5</v>
      </c>
      <c r="B7" s="36" t="s">
        <v>9</v>
      </c>
      <c r="C7" s="36" t="s">
        <v>15</v>
      </c>
      <c r="D7" s="36" t="s">
        <v>11</v>
      </c>
      <c r="E7" s="37">
        <f>28600+14300+7150+14300+7150+7150</f>
        <v>78650</v>
      </c>
      <c r="F7" s="37">
        <v>0</v>
      </c>
      <c r="G7" s="37">
        <f t="shared" si="0"/>
        <v>78650</v>
      </c>
      <c r="H7" s="38" t="s">
        <v>16</v>
      </c>
      <c r="I7" s="39">
        <f>7150*12</f>
        <v>85800</v>
      </c>
      <c r="J7" s="37">
        <v>0</v>
      </c>
      <c r="K7" s="41">
        <v>40910</v>
      </c>
      <c r="L7" s="41">
        <v>41274</v>
      </c>
      <c r="M7" s="38" t="s">
        <v>285</v>
      </c>
      <c r="N7" s="42" t="s">
        <v>294</v>
      </c>
    </row>
    <row r="8" spans="1:14" s="4" customFormat="1" ht="49.5" customHeight="1">
      <c r="A8" s="35">
        <f t="shared" si="1"/>
        <v>6</v>
      </c>
      <c r="B8" s="36" t="s">
        <v>9</v>
      </c>
      <c r="C8" s="36" t="s">
        <v>15</v>
      </c>
      <c r="D8" s="36" t="s">
        <v>334</v>
      </c>
      <c r="E8" s="37">
        <f>77792.4+12965.4+12965.4+12965.4</f>
        <v>116688.59999999998</v>
      </c>
      <c r="F8" s="37">
        <v>0</v>
      </c>
      <c r="G8" s="37">
        <f t="shared" si="0"/>
        <v>116688.59999999998</v>
      </c>
      <c r="H8" s="38" t="s">
        <v>335</v>
      </c>
      <c r="I8" s="39">
        <v>129654</v>
      </c>
      <c r="J8" s="37">
        <v>0</v>
      </c>
      <c r="K8" s="41">
        <v>40910</v>
      </c>
      <c r="L8" s="41">
        <v>41274</v>
      </c>
      <c r="M8" s="38" t="s">
        <v>285</v>
      </c>
      <c r="N8" s="42" t="s">
        <v>294</v>
      </c>
    </row>
    <row r="9" spans="1:14" s="4" customFormat="1" ht="49.5" customHeight="1">
      <c r="A9" s="35">
        <f t="shared" si="1"/>
        <v>7</v>
      </c>
      <c r="B9" s="36" t="s">
        <v>295</v>
      </c>
      <c r="C9" s="36" t="s">
        <v>296</v>
      </c>
      <c r="D9" s="36" t="s">
        <v>297</v>
      </c>
      <c r="E9" s="37">
        <v>20000</v>
      </c>
      <c r="F9" s="37">
        <v>0</v>
      </c>
      <c r="G9" s="37">
        <f t="shared" si="0"/>
        <v>20000</v>
      </c>
      <c r="H9" s="38" t="s">
        <v>298</v>
      </c>
      <c r="I9" s="39">
        <v>20000</v>
      </c>
      <c r="J9" s="39">
        <v>0</v>
      </c>
      <c r="K9" s="41">
        <v>41086</v>
      </c>
      <c r="L9" s="41">
        <v>41274</v>
      </c>
      <c r="M9" s="38" t="s">
        <v>285</v>
      </c>
      <c r="N9" s="42" t="s">
        <v>68</v>
      </c>
    </row>
    <row r="10" spans="1:14" s="4" customFormat="1" ht="49.5" customHeight="1">
      <c r="A10" s="35">
        <f t="shared" si="1"/>
        <v>8</v>
      </c>
      <c r="B10" s="36" t="s">
        <v>17</v>
      </c>
      <c r="C10" s="36" t="s">
        <v>18</v>
      </c>
      <c r="D10" s="36" t="s">
        <v>19</v>
      </c>
      <c r="E10" s="37">
        <v>0</v>
      </c>
      <c r="F10" s="37">
        <v>0</v>
      </c>
      <c r="G10" s="37">
        <f t="shared" si="0"/>
        <v>0</v>
      </c>
      <c r="H10" s="38" t="s">
        <v>20</v>
      </c>
      <c r="I10" s="39">
        <v>2556407.93</v>
      </c>
      <c r="J10" s="37">
        <v>383461.19</v>
      </c>
      <c r="K10" s="41">
        <v>40142</v>
      </c>
      <c r="L10" s="41">
        <v>40872</v>
      </c>
      <c r="M10" s="38" t="s">
        <v>21</v>
      </c>
      <c r="N10" s="42" t="s">
        <v>22</v>
      </c>
    </row>
    <row r="11" spans="1:14" s="4" customFormat="1" ht="49.5" customHeight="1">
      <c r="A11" s="35">
        <f t="shared" si="1"/>
        <v>9</v>
      </c>
      <c r="B11" s="36" t="s">
        <v>17</v>
      </c>
      <c r="C11" s="36" t="s">
        <v>23</v>
      </c>
      <c r="D11" s="36" t="s">
        <v>24</v>
      </c>
      <c r="E11" s="37">
        <f>279227.1+279227.1+279227.1+279227.1+279227.1+325180.33+325180.33+325180.33+325180.33+325180.33</f>
        <v>3022037.1500000004</v>
      </c>
      <c r="F11" s="37">
        <v>785941.7</v>
      </c>
      <c r="G11" s="37">
        <f t="shared" si="0"/>
        <v>3807978.8500000006</v>
      </c>
      <c r="H11" s="38" t="s">
        <v>25</v>
      </c>
      <c r="I11" s="39">
        <v>2792271</v>
      </c>
      <c r="J11" s="39">
        <f>279227.1+279227.1+279227.1+279227.1+279227.1</f>
        <v>1396135.5</v>
      </c>
      <c r="K11" s="41">
        <v>39995</v>
      </c>
      <c r="L11" s="41">
        <v>41820</v>
      </c>
      <c r="M11" s="38" t="s">
        <v>26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257</v>
      </c>
      <c r="C12" s="36" t="s">
        <v>258</v>
      </c>
      <c r="D12" s="36" t="s">
        <v>259</v>
      </c>
      <c r="E12" s="37">
        <f>196589+196589+196589+196589</f>
        <v>786356</v>
      </c>
      <c r="F12" s="37">
        <v>0</v>
      </c>
      <c r="G12" s="37">
        <f t="shared" si="0"/>
        <v>786356</v>
      </c>
      <c r="H12" s="38" t="s">
        <v>260</v>
      </c>
      <c r="I12" s="39">
        <f>4*196589</f>
        <v>786356</v>
      </c>
      <c r="J12" s="39">
        <v>0</v>
      </c>
      <c r="K12" s="41">
        <v>40957</v>
      </c>
      <c r="L12" s="41">
        <v>41688</v>
      </c>
      <c r="M12" s="38" t="s">
        <v>26</v>
      </c>
      <c r="N12" s="42" t="s">
        <v>68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30</v>
      </c>
      <c r="E13" s="37">
        <v>0</v>
      </c>
      <c r="F13" s="37">
        <v>0</v>
      </c>
      <c r="G13" s="37">
        <f t="shared" si="0"/>
        <v>0</v>
      </c>
      <c r="H13" s="38" t="s">
        <v>31</v>
      </c>
      <c r="I13" s="39">
        <v>273666.94</v>
      </c>
      <c r="J13" s="39">
        <v>273666.94</v>
      </c>
      <c r="K13" s="41">
        <v>40178</v>
      </c>
      <c r="L13" s="41">
        <v>40542</v>
      </c>
      <c r="M13" s="38" t="s">
        <v>32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33</v>
      </c>
      <c r="E14" s="37">
        <v>0</v>
      </c>
      <c r="F14" s="37">
        <v>0</v>
      </c>
      <c r="G14" s="37">
        <f t="shared" si="0"/>
        <v>0</v>
      </c>
      <c r="H14" s="44" t="s">
        <v>34</v>
      </c>
      <c r="I14" s="45">
        <v>1636649.08</v>
      </c>
      <c r="J14" s="45">
        <v>514958.82</v>
      </c>
      <c r="K14" s="41">
        <v>40176</v>
      </c>
      <c r="L14" s="41">
        <v>40722</v>
      </c>
      <c r="M14" s="38" t="s">
        <v>35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36</v>
      </c>
      <c r="E15" s="37">
        <v>516891.15</v>
      </c>
      <c r="F15" s="37">
        <v>0</v>
      </c>
      <c r="G15" s="37">
        <f t="shared" si="0"/>
        <v>516891.15</v>
      </c>
      <c r="H15" s="38" t="s">
        <v>37</v>
      </c>
      <c r="I15" s="39">
        <v>1492263.04</v>
      </c>
      <c r="J15" s="39">
        <v>517381.16</v>
      </c>
      <c r="K15" s="41">
        <v>40176</v>
      </c>
      <c r="L15" s="46">
        <v>40905</v>
      </c>
      <c r="M15" s="38" t="s">
        <v>38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39</v>
      </c>
      <c r="E16" s="37">
        <v>147662.4</v>
      </c>
      <c r="F16" s="37">
        <v>0</v>
      </c>
      <c r="G16" s="37">
        <f t="shared" si="0"/>
        <v>147662.4</v>
      </c>
      <c r="H16" s="38" t="s">
        <v>40</v>
      </c>
      <c r="I16" s="39">
        <v>322420.94</v>
      </c>
      <c r="J16" s="39">
        <v>174758.54</v>
      </c>
      <c r="K16" s="41">
        <v>40176</v>
      </c>
      <c r="L16" s="41">
        <v>40540</v>
      </c>
      <c r="M16" s="38" t="s">
        <v>32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41</v>
      </c>
      <c r="E17" s="37">
        <v>0</v>
      </c>
      <c r="F17" s="37">
        <v>0</v>
      </c>
      <c r="G17" s="37">
        <f t="shared" si="0"/>
        <v>0</v>
      </c>
      <c r="H17" s="38" t="s">
        <v>42</v>
      </c>
      <c r="I17" s="39">
        <v>851408.61</v>
      </c>
      <c r="J17" s="39">
        <f>588308.41+263100.2</f>
        <v>851408.6100000001</v>
      </c>
      <c r="K17" s="41">
        <v>38890</v>
      </c>
      <c r="L17" s="79">
        <v>40056</v>
      </c>
      <c r="M17" s="38" t="s">
        <v>26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43</v>
      </c>
      <c r="E18" s="37">
        <v>140800</v>
      </c>
      <c r="F18" s="37">
        <v>0</v>
      </c>
      <c r="G18" s="37">
        <f t="shared" si="0"/>
        <v>140800</v>
      </c>
      <c r="H18" s="38" t="s">
        <v>44</v>
      </c>
      <c r="I18" s="39">
        <v>352000</v>
      </c>
      <c r="J18" s="39">
        <v>211200</v>
      </c>
      <c r="K18" s="41">
        <v>39633</v>
      </c>
      <c r="L18" s="41">
        <v>39993</v>
      </c>
      <c r="M18" s="38" t="s">
        <v>35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45</v>
      </c>
      <c r="E19" s="37">
        <v>0</v>
      </c>
      <c r="F19" s="37">
        <v>0</v>
      </c>
      <c r="G19" s="37">
        <f t="shared" si="0"/>
        <v>0</v>
      </c>
      <c r="H19" s="38" t="s">
        <v>46</v>
      </c>
      <c r="I19" s="39">
        <v>516646.91</v>
      </c>
      <c r="J19" s="39">
        <v>437114.41</v>
      </c>
      <c r="K19" s="41">
        <v>40536</v>
      </c>
      <c r="L19" s="41">
        <v>40900</v>
      </c>
      <c r="M19" s="38" t="s">
        <v>26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47</v>
      </c>
      <c r="E20" s="37">
        <v>0</v>
      </c>
      <c r="F20" s="37">
        <v>0</v>
      </c>
      <c r="G20" s="37">
        <f t="shared" si="0"/>
        <v>0</v>
      </c>
      <c r="H20" s="38" t="s">
        <v>48</v>
      </c>
      <c r="I20" s="39">
        <v>100000</v>
      </c>
      <c r="J20" s="39">
        <v>100000</v>
      </c>
      <c r="K20" s="41">
        <v>40177</v>
      </c>
      <c r="L20" s="41">
        <v>40541</v>
      </c>
      <c r="M20" s="38" t="s">
        <v>32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28</v>
      </c>
      <c r="C21" s="36" t="s">
        <v>29</v>
      </c>
      <c r="D21" s="36" t="s">
        <v>49</v>
      </c>
      <c r="E21" s="37">
        <v>0</v>
      </c>
      <c r="F21" s="37">
        <v>0</v>
      </c>
      <c r="G21" s="37">
        <f t="shared" si="0"/>
        <v>0</v>
      </c>
      <c r="H21" s="38" t="s">
        <v>50</v>
      </c>
      <c r="I21" s="39">
        <v>202569.34</v>
      </c>
      <c r="J21" s="39">
        <v>202569.343</v>
      </c>
      <c r="K21" s="41">
        <v>40542</v>
      </c>
      <c r="L21" s="41">
        <v>40907</v>
      </c>
      <c r="M21" s="38" t="s">
        <v>26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28</v>
      </c>
      <c r="C22" s="36" t="s">
        <v>29</v>
      </c>
      <c r="D22" s="36" t="s">
        <v>51</v>
      </c>
      <c r="E22" s="37">
        <v>182038.38</v>
      </c>
      <c r="F22" s="37">
        <v>0</v>
      </c>
      <c r="G22" s="37">
        <f t="shared" si="0"/>
        <v>182038.38</v>
      </c>
      <c r="H22" s="38" t="s">
        <v>52</v>
      </c>
      <c r="I22" s="39">
        <v>3640767.5</v>
      </c>
      <c r="J22" s="39">
        <v>0</v>
      </c>
      <c r="K22" s="41">
        <v>40542</v>
      </c>
      <c r="L22" s="41">
        <v>42001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53</v>
      </c>
      <c r="C23" s="36" t="s">
        <v>29</v>
      </c>
      <c r="D23" s="36" t="s">
        <v>54</v>
      </c>
      <c r="E23" s="37">
        <v>771437.88</v>
      </c>
      <c r="F23" s="37">
        <v>0</v>
      </c>
      <c r="G23" s="37">
        <f t="shared" si="0"/>
        <v>771437.88</v>
      </c>
      <c r="H23" s="38" t="s">
        <v>55</v>
      </c>
      <c r="I23" s="39">
        <v>771437.88</v>
      </c>
      <c r="J23" s="39">
        <v>0</v>
      </c>
      <c r="K23" s="41">
        <v>40886</v>
      </c>
      <c r="L23" s="41">
        <v>41617</v>
      </c>
      <c r="M23" s="38" t="s">
        <v>35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53</v>
      </c>
      <c r="C24" s="36" t="s">
        <v>29</v>
      </c>
      <c r="D24" s="36" t="s">
        <v>56</v>
      </c>
      <c r="E24" s="37">
        <v>90000</v>
      </c>
      <c r="F24" s="37">
        <v>0</v>
      </c>
      <c r="G24" s="37">
        <f t="shared" si="0"/>
        <v>90000</v>
      </c>
      <c r="H24" s="38" t="s">
        <v>57</v>
      </c>
      <c r="I24" s="39">
        <v>3944386.94</v>
      </c>
      <c r="J24" s="39">
        <v>0</v>
      </c>
      <c r="K24" s="41">
        <v>40904</v>
      </c>
      <c r="L24" s="46">
        <v>42000</v>
      </c>
      <c r="M24" s="38" t="s">
        <v>35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53</v>
      </c>
      <c r="C25" s="36" t="s">
        <v>29</v>
      </c>
      <c r="D25" s="36" t="s">
        <v>342</v>
      </c>
      <c r="E25" s="37">
        <v>700000</v>
      </c>
      <c r="F25" s="37">
        <v>0</v>
      </c>
      <c r="G25" s="37">
        <f t="shared" si="0"/>
        <v>700000</v>
      </c>
      <c r="H25" s="44" t="s">
        <v>343</v>
      </c>
      <c r="I25" s="45">
        <v>700000</v>
      </c>
      <c r="J25" s="45">
        <v>0</v>
      </c>
      <c r="K25" s="41">
        <v>41247</v>
      </c>
      <c r="L25" s="41">
        <v>42342</v>
      </c>
      <c r="M25" s="38" t="s">
        <v>35</v>
      </c>
      <c r="N25" s="42" t="s">
        <v>27</v>
      </c>
    </row>
    <row r="26" spans="1:14" s="4" customFormat="1" ht="49.5" customHeight="1">
      <c r="A26" s="35">
        <f t="shared" si="1"/>
        <v>24</v>
      </c>
      <c r="B26" s="36" t="s">
        <v>53</v>
      </c>
      <c r="C26" s="36" t="s">
        <v>344</v>
      </c>
      <c r="D26" s="36" t="s">
        <v>345</v>
      </c>
      <c r="E26" s="37">
        <v>186000</v>
      </c>
      <c r="F26" s="37">
        <v>0</v>
      </c>
      <c r="G26" s="37">
        <f t="shared" si="0"/>
        <v>186000</v>
      </c>
      <c r="H26" s="44" t="s">
        <v>346</v>
      </c>
      <c r="I26" s="45">
        <v>186000</v>
      </c>
      <c r="J26" s="45">
        <v>0</v>
      </c>
      <c r="K26" s="41">
        <v>41257</v>
      </c>
      <c r="L26" s="41">
        <v>41378</v>
      </c>
      <c r="M26" s="38" t="s">
        <v>26</v>
      </c>
      <c r="N26" s="42" t="s">
        <v>68</v>
      </c>
    </row>
    <row r="27" spans="1:14" s="4" customFormat="1" ht="49.5" customHeight="1">
      <c r="A27" s="35">
        <f t="shared" si="1"/>
        <v>25</v>
      </c>
      <c r="B27" s="36" t="s">
        <v>28</v>
      </c>
      <c r="C27" s="36" t="s">
        <v>58</v>
      </c>
      <c r="D27" s="36" t="s">
        <v>59</v>
      </c>
      <c r="E27" s="37">
        <v>0</v>
      </c>
      <c r="F27" s="37">
        <v>0</v>
      </c>
      <c r="G27" s="37">
        <f t="shared" si="0"/>
        <v>0</v>
      </c>
      <c r="H27" s="44" t="s">
        <v>60</v>
      </c>
      <c r="I27" s="45">
        <v>250000</v>
      </c>
      <c r="J27" s="45">
        <v>250000</v>
      </c>
      <c r="K27" s="41">
        <v>40155</v>
      </c>
      <c r="L27" s="41">
        <v>40519</v>
      </c>
      <c r="M27" s="38" t="s">
        <v>26</v>
      </c>
      <c r="N27" s="42" t="s">
        <v>27</v>
      </c>
    </row>
    <row r="28" spans="1:14" s="4" customFormat="1" ht="49.5" customHeight="1">
      <c r="A28" s="35">
        <f t="shared" si="1"/>
        <v>26</v>
      </c>
      <c r="B28" s="36" t="s">
        <v>28</v>
      </c>
      <c r="C28" s="36" t="s">
        <v>58</v>
      </c>
      <c r="D28" s="36" t="s">
        <v>61</v>
      </c>
      <c r="E28" s="37">
        <v>0</v>
      </c>
      <c r="F28" s="37">
        <v>0</v>
      </c>
      <c r="G28" s="37">
        <f t="shared" si="0"/>
        <v>0</v>
      </c>
      <c r="H28" s="38" t="s">
        <v>62</v>
      </c>
      <c r="I28" s="39">
        <v>700000</v>
      </c>
      <c r="J28" s="39">
        <v>486857</v>
      </c>
      <c r="K28" s="41">
        <v>40532</v>
      </c>
      <c r="L28" s="41">
        <v>40711</v>
      </c>
      <c r="M28" s="38" t="s">
        <v>26</v>
      </c>
      <c r="N28" s="42" t="s">
        <v>27</v>
      </c>
    </row>
    <row r="29" spans="1:14" s="4" customFormat="1" ht="49.5" customHeight="1">
      <c r="A29" s="35">
        <f t="shared" si="1"/>
        <v>27</v>
      </c>
      <c r="B29" s="36" t="s">
        <v>28</v>
      </c>
      <c r="C29" s="36" t="s">
        <v>58</v>
      </c>
      <c r="D29" s="36" t="s">
        <v>261</v>
      </c>
      <c r="E29" s="37">
        <v>200000</v>
      </c>
      <c r="F29" s="37">
        <v>0</v>
      </c>
      <c r="G29" s="37">
        <f t="shared" si="0"/>
        <v>200000</v>
      </c>
      <c r="H29" s="38" t="s">
        <v>262</v>
      </c>
      <c r="I29" s="39">
        <v>200000</v>
      </c>
      <c r="J29" s="39">
        <v>0</v>
      </c>
      <c r="K29" s="41">
        <v>41018</v>
      </c>
      <c r="L29" s="41">
        <v>41378</v>
      </c>
      <c r="M29" s="38" t="s">
        <v>26</v>
      </c>
      <c r="N29" s="42" t="s">
        <v>27</v>
      </c>
    </row>
    <row r="30" spans="1:14" s="4" customFormat="1" ht="49.5" customHeight="1">
      <c r="A30" s="35">
        <f t="shared" si="1"/>
        <v>28</v>
      </c>
      <c r="B30" s="36" t="s">
        <v>28</v>
      </c>
      <c r="C30" s="36" t="s">
        <v>58</v>
      </c>
      <c r="D30" s="36" t="s">
        <v>347</v>
      </c>
      <c r="E30" s="37">
        <v>200000</v>
      </c>
      <c r="F30" s="37">
        <v>0</v>
      </c>
      <c r="G30" s="37">
        <f t="shared" si="0"/>
        <v>200000</v>
      </c>
      <c r="H30" s="38" t="s">
        <v>348</v>
      </c>
      <c r="I30" s="39">
        <v>200000</v>
      </c>
      <c r="J30" s="39">
        <v>0</v>
      </c>
      <c r="K30" s="41">
        <v>41243</v>
      </c>
      <c r="L30" s="41">
        <v>41603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28</v>
      </c>
      <c r="C31" s="36" t="s">
        <v>58</v>
      </c>
      <c r="D31" s="36" t="s">
        <v>349</v>
      </c>
      <c r="E31" s="37">
        <v>200000</v>
      </c>
      <c r="F31" s="37">
        <v>0</v>
      </c>
      <c r="G31" s="37">
        <f t="shared" si="0"/>
        <v>200000</v>
      </c>
      <c r="H31" s="38" t="s">
        <v>350</v>
      </c>
      <c r="I31" s="39">
        <v>200000</v>
      </c>
      <c r="J31" s="39">
        <v>0</v>
      </c>
      <c r="K31" s="41">
        <v>41243</v>
      </c>
      <c r="L31" s="41">
        <v>41603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28</v>
      </c>
      <c r="C32" s="36" t="s">
        <v>58</v>
      </c>
      <c r="D32" s="36" t="s">
        <v>351</v>
      </c>
      <c r="E32" s="37">
        <v>200000</v>
      </c>
      <c r="F32" s="37">
        <v>0</v>
      </c>
      <c r="G32" s="37">
        <f t="shared" si="0"/>
        <v>200000</v>
      </c>
      <c r="H32" s="38" t="s">
        <v>352</v>
      </c>
      <c r="I32" s="39">
        <v>200000</v>
      </c>
      <c r="J32" s="39">
        <v>0</v>
      </c>
      <c r="K32" s="41">
        <v>41243</v>
      </c>
      <c r="L32" s="41">
        <v>41603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274</v>
      </c>
      <c r="C33" s="36" t="s">
        <v>275</v>
      </c>
      <c r="D33" s="36" t="s">
        <v>276</v>
      </c>
      <c r="E33" s="37">
        <v>330000</v>
      </c>
      <c r="F33" s="37">
        <v>0</v>
      </c>
      <c r="G33" s="37">
        <f t="shared" si="0"/>
        <v>330000</v>
      </c>
      <c r="H33" s="38" t="s">
        <v>277</v>
      </c>
      <c r="I33" s="39">
        <v>330000</v>
      </c>
      <c r="J33" s="39">
        <v>0</v>
      </c>
      <c r="K33" s="41">
        <v>41019</v>
      </c>
      <c r="L33" s="41">
        <v>41229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64</v>
      </c>
      <c r="D34" s="36" t="s">
        <v>65</v>
      </c>
      <c r="E34" s="37">
        <f>47533.89+15844.63+15844.63+15844.63</f>
        <v>95067.78</v>
      </c>
      <c r="F34" s="37">
        <v>0</v>
      </c>
      <c r="G34" s="37">
        <f t="shared" si="0"/>
        <v>95067.78</v>
      </c>
      <c r="H34" s="38" t="s">
        <v>264</v>
      </c>
      <c r="I34" s="39">
        <v>47533.89</v>
      </c>
      <c r="J34" s="39">
        <v>47533.89</v>
      </c>
      <c r="K34" s="41">
        <v>39814</v>
      </c>
      <c r="L34" s="41" t="s">
        <v>67</v>
      </c>
      <c r="M34" s="38" t="s">
        <v>26</v>
      </c>
      <c r="N34" s="42" t="s">
        <v>68</v>
      </c>
    </row>
    <row r="35" spans="1:14" s="4" customFormat="1" ht="49.5" customHeight="1">
      <c r="A35" s="35">
        <f t="shared" si="1"/>
        <v>33</v>
      </c>
      <c r="B35" s="36" t="s">
        <v>63</v>
      </c>
      <c r="C35" s="36" t="s">
        <v>64</v>
      </c>
      <c r="D35" s="36" t="s">
        <v>69</v>
      </c>
      <c r="E35" s="37">
        <v>0</v>
      </c>
      <c r="F35" s="37">
        <v>0</v>
      </c>
      <c r="G35" s="37">
        <f t="shared" si="0"/>
        <v>0</v>
      </c>
      <c r="H35" s="38" t="s">
        <v>264</v>
      </c>
      <c r="I35" s="39">
        <f>2880+6720</f>
        <v>9600</v>
      </c>
      <c r="J35" s="39">
        <f>7600+2000</f>
        <v>9600</v>
      </c>
      <c r="K35" s="41">
        <v>40303</v>
      </c>
      <c r="L35" s="41" t="s">
        <v>67</v>
      </c>
      <c r="M35" s="38" t="s">
        <v>26</v>
      </c>
      <c r="N35" s="42" t="s">
        <v>68</v>
      </c>
    </row>
    <row r="36" spans="1:14" s="4" customFormat="1" ht="49.5" customHeight="1">
      <c r="A36" s="35">
        <f t="shared" si="1"/>
        <v>34</v>
      </c>
      <c r="B36" s="36" t="s">
        <v>63</v>
      </c>
      <c r="C36" s="36" t="s">
        <v>64</v>
      </c>
      <c r="D36" s="36" t="s">
        <v>263</v>
      </c>
      <c r="E36" s="37">
        <f>1281.93+4497.1</f>
        <v>5779.030000000001</v>
      </c>
      <c r="F36" s="37">
        <v>0</v>
      </c>
      <c r="G36" s="37">
        <f t="shared" si="0"/>
        <v>5779.030000000001</v>
      </c>
      <c r="H36" s="38" t="s">
        <v>264</v>
      </c>
      <c r="I36" s="39">
        <v>5779.03</v>
      </c>
      <c r="J36" s="39">
        <v>0</v>
      </c>
      <c r="K36" s="41">
        <v>39600</v>
      </c>
      <c r="L36" s="41">
        <v>41274</v>
      </c>
      <c r="M36" s="38" t="s">
        <v>26</v>
      </c>
      <c r="N36" s="42" t="s">
        <v>68</v>
      </c>
    </row>
    <row r="37" spans="1:14" s="4" customFormat="1" ht="49.5" customHeight="1">
      <c r="A37" s="35">
        <f t="shared" si="1"/>
        <v>35</v>
      </c>
      <c r="B37" s="36" t="s">
        <v>63</v>
      </c>
      <c r="C37" s="36" t="s">
        <v>70</v>
      </c>
      <c r="D37" s="36" t="s">
        <v>71</v>
      </c>
      <c r="E37" s="37">
        <v>0</v>
      </c>
      <c r="F37" s="37">
        <v>0</v>
      </c>
      <c r="G37" s="37">
        <f t="shared" si="0"/>
        <v>0</v>
      </c>
      <c r="H37" s="38" t="s">
        <v>72</v>
      </c>
      <c r="I37" s="39">
        <v>70000</v>
      </c>
      <c r="J37" s="39">
        <v>70000</v>
      </c>
      <c r="K37" s="41">
        <v>40540</v>
      </c>
      <c r="L37" s="41">
        <v>40724</v>
      </c>
      <c r="M37" s="38" t="s">
        <v>26</v>
      </c>
      <c r="N37" s="42" t="s">
        <v>68</v>
      </c>
    </row>
    <row r="38" spans="1:14" s="4" customFormat="1" ht="49.5" customHeight="1">
      <c r="A38" s="35">
        <f t="shared" si="1"/>
        <v>36</v>
      </c>
      <c r="B38" s="36" t="s">
        <v>63</v>
      </c>
      <c r="C38" s="36" t="s">
        <v>70</v>
      </c>
      <c r="D38" s="36" t="s">
        <v>73</v>
      </c>
      <c r="E38" s="37">
        <v>0</v>
      </c>
      <c r="F38" s="37">
        <v>0</v>
      </c>
      <c r="G38" s="37">
        <f t="shared" si="0"/>
        <v>0</v>
      </c>
      <c r="H38" s="38" t="s">
        <v>74</v>
      </c>
      <c r="I38" s="39">
        <v>60000</v>
      </c>
      <c r="J38" s="39">
        <v>60000</v>
      </c>
      <c r="K38" s="41">
        <v>40540</v>
      </c>
      <c r="L38" s="41">
        <v>40724</v>
      </c>
      <c r="M38" s="38" t="s">
        <v>26</v>
      </c>
      <c r="N38" s="42" t="s">
        <v>68</v>
      </c>
    </row>
    <row r="39" spans="1:14" s="4" customFormat="1" ht="49.5" customHeight="1">
      <c r="A39" s="35">
        <f t="shared" si="1"/>
        <v>37</v>
      </c>
      <c r="B39" s="36" t="s">
        <v>63</v>
      </c>
      <c r="C39" s="36" t="s">
        <v>75</v>
      </c>
      <c r="D39" s="36" t="s">
        <v>76</v>
      </c>
      <c r="E39" s="37">
        <v>0</v>
      </c>
      <c r="F39" s="37">
        <v>0</v>
      </c>
      <c r="G39" s="37">
        <f t="shared" si="0"/>
        <v>0</v>
      </c>
      <c r="H39" s="38" t="s">
        <v>77</v>
      </c>
      <c r="I39" s="39">
        <v>630000</v>
      </c>
      <c r="J39" s="39">
        <v>630000</v>
      </c>
      <c r="K39" s="41">
        <v>40599</v>
      </c>
      <c r="L39" s="79">
        <v>40908</v>
      </c>
      <c r="M39" s="38" t="s">
        <v>26</v>
      </c>
      <c r="N39" s="42" t="s">
        <v>68</v>
      </c>
    </row>
    <row r="40" spans="1:14" s="4" customFormat="1" ht="49.5" customHeight="1">
      <c r="A40" s="35">
        <f t="shared" si="1"/>
        <v>38</v>
      </c>
      <c r="B40" s="36" t="s">
        <v>63</v>
      </c>
      <c r="C40" s="36" t="s">
        <v>75</v>
      </c>
      <c r="D40" s="36" t="s">
        <v>78</v>
      </c>
      <c r="E40" s="37">
        <v>105000</v>
      </c>
      <c r="F40" s="37">
        <v>0</v>
      </c>
      <c r="G40" s="37">
        <f t="shared" si="0"/>
        <v>105000</v>
      </c>
      <c r="H40" s="44" t="s">
        <v>79</v>
      </c>
      <c r="I40" s="45">
        <v>630000</v>
      </c>
      <c r="J40" s="45">
        <v>525000</v>
      </c>
      <c r="K40" s="41">
        <v>40751</v>
      </c>
      <c r="L40" s="41">
        <v>40908</v>
      </c>
      <c r="M40" s="46" t="s">
        <v>26</v>
      </c>
      <c r="N40" s="42" t="s">
        <v>68</v>
      </c>
    </row>
    <row r="41" spans="1:14" s="4" customFormat="1" ht="49.5" customHeight="1">
      <c r="A41" s="35">
        <f t="shared" si="1"/>
        <v>39</v>
      </c>
      <c r="B41" s="36" t="s">
        <v>63</v>
      </c>
      <c r="C41" s="36" t="s">
        <v>75</v>
      </c>
      <c r="D41" s="36" t="s">
        <v>265</v>
      </c>
      <c r="E41" s="39">
        <f>105000+105000+105000</f>
        <v>315000</v>
      </c>
      <c r="F41" s="37">
        <v>0</v>
      </c>
      <c r="G41" s="37">
        <f t="shared" si="0"/>
        <v>315000</v>
      </c>
      <c r="H41" s="44" t="s">
        <v>266</v>
      </c>
      <c r="I41" s="45">
        <v>315000</v>
      </c>
      <c r="J41" s="45">
        <v>0</v>
      </c>
      <c r="K41" s="41">
        <v>40977</v>
      </c>
      <c r="L41" s="41">
        <v>41271</v>
      </c>
      <c r="M41" s="46" t="s">
        <v>26</v>
      </c>
      <c r="N41" s="42" t="s">
        <v>68</v>
      </c>
    </row>
    <row r="42" spans="1:14" s="4" customFormat="1" ht="49.5" customHeight="1">
      <c r="A42" s="35">
        <f t="shared" si="1"/>
        <v>40</v>
      </c>
      <c r="B42" s="36" t="s">
        <v>63</v>
      </c>
      <c r="C42" s="36" t="s">
        <v>70</v>
      </c>
      <c r="D42" s="36" t="s">
        <v>299</v>
      </c>
      <c r="E42" s="39">
        <v>200000</v>
      </c>
      <c r="F42" s="37">
        <v>0</v>
      </c>
      <c r="G42" s="37">
        <f t="shared" si="0"/>
        <v>200000</v>
      </c>
      <c r="H42" s="44" t="s">
        <v>300</v>
      </c>
      <c r="I42" s="45">
        <v>200000</v>
      </c>
      <c r="J42" s="45">
        <v>0</v>
      </c>
      <c r="K42" s="41">
        <v>41086</v>
      </c>
      <c r="L42" s="41">
        <v>41271</v>
      </c>
      <c r="M42" s="46" t="s">
        <v>26</v>
      </c>
      <c r="N42" s="42" t="s">
        <v>68</v>
      </c>
    </row>
    <row r="43" spans="1:14" s="4" customFormat="1" ht="49.5" customHeight="1">
      <c r="A43" s="35">
        <f t="shared" si="1"/>
        <v>41</v>
      </c>
      <c r="B43" s="36" t="s">
        <v>63</v>
      </c>
      <c r="C43" s="36" t="s">
        <v>301</v>
      </c>
      <c r="D43" s="36" t="s">
        <v>302</v>
      </c>
      <c r="E43" s="37">
        <v>360000</v>
      </c>
      <c r="F43" s="37">
        <v>0</v>
      </c>
      <c r="G43" s="37">
        <f t="shared" si="0"/>
        <v>360000</v>
      </c>
      <c r="H43" s="38" t="s">
        <v>303</v>
      </c>
      <c r="I43" s="39">
        <v>400000</v>
      </c>
      <c r="J43" s="39">
        <v>0</v>
      </c>
      <c r="K43" s="41">
        <v>41087</v>
      </c>
      <c r="L43" s="41">
        <v>41271</v>
      </c>
      <c r="M43" s="46" t="s">
        <v>26</v>
      </c>
      <c r="N43" s="42" t="s">
        <v>68</v>
      </c>
    </row>
    <row r="44" spans="1:14" s="4" customFormat="1" ht="49.5" customHeight="1">
      <c r="A44" s="35">
        <f t="shared" si="1"/>
        <v>42</v>
      </c>
      <c r="B44" s="36" t="s">
        <v>63</v>
      </c>
      <c r="C44" s="36" t="s">
        <v>75</v>
      </c>
      <c r="D44" s="36" t="s">
        <v>320</v>
      </c>
      <c r="E44" s="37">
        <f>420000+105000+105000+105000+210000</f>
        <v>945000</v>
      </c>
      <c r="F44" s="37">
        <v>0</v>
      </c>
      <c r="G44" s="37">
        <f t="shared" si="0"/>
        <v>945000</v>
      </c>
      <c r="H44" s="38" t="s">
        <v>321</v>
      </c>
      <c r="I44" s="39">
        <v>945000</v>
      </c>
      <c r="J44" s="39">
        <v>0</v>
      </c>
      <c r="K44" s="41">
        <v>41081</v>
      </c>
      <c r="L44" s="41">
        <v>41271</v>
      </c>
      <c r="M44" s="46" t="s">
        <v>26</v>
      </c>
      <c r="N44" s="42" t="s">
        <v>68</v>
      </c>
    </row>
    <row r="45" spans="1:14" s="4" customFormat="1" ht="49.5" customHeight="1">
      <c r="A45" s="35">
        <f t="shared" si="1"/>
        <v>43</v>
      </c>
      <c r="B45" s="36" t="s">
        <v>80</v>
      </c>
      <c r="C45" s="36" t="s">
        <v>81</v>
      </c>
      <c r="D45" s="36" t="s">
        <v>82</v>
      </c>
      <c r="E45" s="37">
        <v>0</v>
      </c>
      <c r="F45" s="37">
        <v>0</v>
      </c>
      <c r="G45" s="37">
        <f t="shared" si="0"/>
        <v>0</v>
      </c>
      <c r="H45" s="38" t="s">
        <v>83</v>
      </c>
      <c r="I45" s="39">
        <v>126000</v>
      </c>
      <c r="J45" s="39">
        <f>66036+47363</f>
        <v>113399</v>
      </c>
      <c r="K45" s="41">
        <v>39071</v>
      </c>
      <c r="L45" s="41" t="s">
        <v>84</v>
      </c>
      <c r="M45" s="38" t="s">
        <v>26</v>
      </c>
      <c r="N45" s="42" t="s">
        <v>27</v>
      </c>
    </row>
    <row r="46" spans="1:14" s="4" customFormat="1" ht="49.5" customHeight="1">
      <c r="A46" s="35">
        <f t="shared" si="1"/>
        <v>44</v>
      </c>
      <c r="B46" s="36" t="s">
        <v>85</v>
      </c>
      <c r="C46" s="36" t="s">
        <v>86</v>
      </c>
      <c r="D46" s="36" t="s">
        <v>87</v>
      </c>
      <c r="E46" s="37">
        <f>8732.91+45419.87+16466.7+27317.93+17214.98+10475.5+8869.4+12911.27+25808.23</f>
        <v>173216.79</v>
      </c>
      <c r="F46" s="37">
        <v>0</v>
      </c>
      <c r="G46" s="37">
        <f t="shared" si="0"/>
        <v>173216.79</v>
      </c>
      <c r="H46" s="38" t="s">
        <v>88</v>
      </c>
      <c r="I46" s="39">
        <v>85000</v>
      </c>
      <c r="J46" s="39">
        <v>0</v>
      </c>
      <c r="K46" s="41">
        <v>38611</v>
      </c>
      <c r="L46" s="41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1"/>
        <v>45</v>
      </c>
      <c r="B47" s="36" t="s">
        <v>89</v>
      </c>
      <c r="C47" s="36" t="s">
        <v>90</v>
      </c>
      <c r="D47" s="36" t="s">
        <v>91</v>
      </c>
      <c r="E47" s="47">
        <v>0</v>
      </c>
      <c r="F47" s="37">
        <v>0</v>
      </c>
      <c r="G47" s="37">
        <f t="shared" si="0"/>
        <v>0</v>
      </c>
      <c r="H47" s="38" t="s">
        <v>92</v>
      </c>
      <c r="I47" s="39">
        <v>292500</v>
      </c>
      <c r="J47" s="39">
        <v>292500</v>
      </c>
      <c r="K47" s="41">
        <v>40350</v>
      </c>
      <c r="L47" s="41">
        <v>40775</v>
      </c>
      <c r="M47" s="38" t="s">
        <v>26</v>
      </c>
      <c r="N47" s="42" t="s">
        <v>27</v>
      </c>
    </row>
    <row r="48" spans="1:14" s="4" customFormat="1" ht="49.5" customHeight="1">
      <c r="A48" s="35">
        <f t="shared" si="1"/>
        <v>46</v>
      </c>
      <c r="B48" s="36" t="s">
        <v>89</v>
      </c>
      <c r="C48" s="36" t="s">
        <v>322</v>
      </c>
      <c r="D48" s="36" t="s">
        <v>323</v>
      </c>
      <c r="E48" s="47">
        <v>292500</v>
      </c>
      <c r="F48" s="37">
        <v>0</v>
      </c>
      <c r="G48" s="37">
        <f t="shared" si="0"/>
        <v>292500</v>
      </c>
      <c r="H48" s="38" t="s">
        <v>324</v>
      </c>
      <c r="I48" s="39">
        <v>292500</v>
      </c>
      <c r="J48" s="39">
        <v>0</v>
      </c>
      <c r="K48" s="41">
        <v>41061</v>
      </c>
      <c r="L48" s="41">
        <v>41274</v>
      </c>
      <c r="M48" s="38" t="s">
        <v>26</v>
      </c>
      <c r="N48" s="42" t="s">
        <v>27</v>
      </c>
    </row>
    <row r="49" spans="1:14" s="4" customFormat="1" ht="49.5" customHeight="1">
      <c r="A49" s="35">
        <f t="shared" si="1"/>
        <v>47</v>
      </c>
      <c r="B49" s="36" t="s">
        <v>93</v>
      </c>
      <c r="C49" s="36" t="s">
        <v>94</v>
      </c>
      <c r="D49" s="36" t="s">
        <v>95</v>
      </c>
      <c r="E49" s="47">
        <f>179904+359808+179904+205932+205932+205932+205932+205932+205932</f>
        <v>1955208</v>
      </c>
      <c r="F49" s="37">
        <v>0</v>
      </c>
      <c r="G49" s="37">
        <f t="shared" si="0"/>
        <v>1955208</v>
      </c>
      <c r="H49" s="38" t="s">
        <v>96</v>
      </c>
      <c r="I49" s="39">
        <v>1803960</v>
      </c>
      <c r="J49" s="39">
        <v>0</v>
      </c>
      <c r="K49" s="41">
        <v>40544</v>
      </c>
      <c r="L49" s="41">
        <v>40908</v>
      </c>
      <c r="M49" s="38" t="s">
        <v>26</v>
      </c>
      <c r="N49" s="42" t="s">
        <v>68</v>
      </c>
    </row>
    <row r="50" spans="1:14" s="4" customFormat="1" ht="49.5" customHeight="1">
      <c r="A50" s="35">
        <f t="shared" si="1"/>
        <v>48</v>
      </c>
      <c r="B50" s="36" t="s">
        <v>93</v>
      </c>
      <c r="C50" s="36" t="s">
        <v>97</v>
      </c>
      <c r="D50" s="36" t="s">
        <v>97</v>
      </c>
      <c r="E50" s="47">
        <f>49674.78+13.72+24823.67+24837.39+24837.39+24837.39+24837.39+24837.39+24837.38</f>
        <v>223536.5</v>
      </c>
      <c r="F50" s="37">
        <v>0</v>
      </c>
      <c r="G50" s="37">
        <f t="shared" si="0"/>
        <v>223536.5</v>
      </c>
      <c r="H50" s="38" t="s">
        <v>98</v>
      </c>
      <c r="I50" s="39">
        <v>232427</v>
      </c>
      <c r="J50" s="39">
        <v>0</v>
      </c>
      <c r="K50" s="41">
        <v>40544</v>
      </c>
      <c r="L50" s="41">
        <v>40908</v>
      </c>
      <c r="M50" s="38" t="s">
        <v>26</v>
      </c>
      <c r="N50" s="42" t="s">
        <v>68</v>
      </c>
    </row>
    <row r="51" spans="1:14" s="4" customFormat="1" ht="49.5" customHeight="1">
      <c r="A51" s="35">
        <f t="shared" si="1"/>
        <v>49</v>
      </c>
      <c r="B51" s="36" t="s">
        <v>93</v>
      </c>
      <c r="C51" s="36" t="s">
        <v>99</v>
      </c>
      <c r="D51" s="36" t="s">
        <v>100</v>
      </c>
      <c r="E51" s="47">
        <f>605.5+563</f>
        <v>1168.5</v>
      </c>
      <c r="F51" s="37">
        <v>0</v>
      </c>
      <c r="G51" s="37">
        <f t="shared" si="0"/>
        <v>1168.5</v>
      </c>
      <c r="H51" s="38" t="s">
        <v>101</v>
      </c>
      <c r="I51" s="39">
        <v>12756.3</v>
      </c>
      <c r="J51" s="39">
        <v>12756.3</v>
      </c>
      <c r="K51" s="41">
        <v>40544</v>
      </c>
      <c r="L51" s="41">
        <v>40908</v>
      </c>
      <c r="M51" s="46" t="s">
        <v>26</v>
      </c>
      <c r="N51" s="42" t="s">
        <v>68</v>
      </c>
    </row>
    <row r="52" spans="1:14" s="4" customFormat="1" ht="49.5" customHeight="1">
      <c r="A52" s="35">
        <f t="shared" si="1"/>
        <v>50</v>
      </c>
      <c r="B52" s="36" t="s">
        <v>93</v>
      </c>
      <c r="C52" s="36" t="s">
        <v>102</v>
      </c>
      <c r="D52" s="36" t="s">
        <v>103</v>
      </c>
      <c r="E52" s="37">
        <v>8077.13</v>
      </c>
      <c r="F52" s="37">
        <v>0</v>
      </c>
      <c r="G52" s="37">
        <f t="shared" si="0"/>
        <v>8077.13</v>
      </c>
      <c r="H52" s="38" t="s">
        <v>104</v>
      </c>
      <c r="I52" s="39">
        <v>10750</v>
      </c>
      <c r="J52" s="39">
        <v>0</v>
      </c>
      <c r="K52" s="41">
        <v>40070</v>
      </c>
      <c r="L52" s="41" t="s">
        <v>67</v>
      </c>
      <c r="M52" s="46" t="s">
        <v>26</v>
      </c>
      <c r="N52" s="42" t="s">
        <v>27</v>
      </c>
    </row>
    <row r="53" spans="1:14" s="4" customFormat="1" ht="49.5" customHeight="1">
      <c r="A53" s="35">
        <f t="shared" si="1"/>
        <v>51</v>
      </c>
      <c r="B53" s="36" t="s">
        <v>93</v>
      </c>
      <c r="C53" s="36" t="s">
        <v>105</v>
      </c>
      <c r="D53" s="36" t="s">
        <v>106</v>
      </c>
      <c r="E53" s="37">
        <v>0</v>
      </c>
      <c r="F53" s="37">
        <v>0</v>
      </c>
      <c r="G53" s="37">
        <f t="shared" si="0"/>
        <v>0</v>
      </c>
      <c r="H53" s="38" t="s">
        <v>107</v>
      </c>
      <c r="I53" s="39">
        <v>1276275.58</v>
      </c>
      <c r="J53" s="39">
        <v>255255.12</v>
      </c>
      <c r="K53" s="41">
        <v>40725</v>
      </c>
      <c r="L53" s="41">
        <v>41274</v>
      </c>
      <c r="M53" s="38" t="s">
        <v>26</v>
      </c>
      <c r="N53" s="42" t="s">
        <v>27</v>
      </c>
    </row>
    <row r="54" spans="1:14" s="4" customFormat="1" ht="49.5" customHeight="1">
      <c r="A54" s="35">
        <f t="shared" si="1"/>
        <v>52</v>
      </c>
      <c r="B54" s="36" t="s">
        <v>93</v>
      </c>
      <c r="C54" s="36" t="s">
        <v>105</v>
      </c>
      <c r="D54" s="36" t="s">
        <v>108</v>
      </c>
      <c r="E54" s="37">
        <v>0</v>
      </c>
      <c r="F54" s="37">
        <v>0</v>
      </c>
      <c r="G54" s="37">
        <f t="shared" si="0"/>
        <v>0</v>
      </c>
      <c r="H54" s="38" t="s">
        <v>109</v>
      </c>
      <c r="I54" s="39">
        <v>1316838.4</v>
      </c>
      <c r="J54" s="39">
        <v>263367.68</v>
      </c>
      <c r="K54" s="41">
        <v>40544</v>
      </c>
      <c r="L54" s="41">
        <v>41274</v>
      </c>
      <c r="M54" s="38" t="s">
        <v>26</v>
      </c>
      <c r="N54" s="42" t="s">
        <v>27</v>
      </c>
    </row>
    <row r="55" spans="1:14" s="4" customFormat="1" ht="49.5" customHeight="1">
      <c r="A55" s="35">
        <f t="shared" si="1"/>
        <v>53</v>
      </c>
      <c r="B55" s="36" t="s">
        <v>93</v>
      </c>
      <c r="C55" s="36" t="s">
        <v>228</v>
      </c>
      <c r="D55" s="36" t="s">
        <v>229</v>
      </c>
      <c r="E55" s="37">
        <f>96359.9+144539.86</f>
        <v>240899.75999999998</v>
      </c>
      <c r="F55" s="37">
        <v>0</v>
      </c>
      <c r="G55" s="37">
        <f t="shared" si="0"/>
        <v>240899.75999999998</v>
      </c>
      <c r="H55" s="38" t="s">
        <v>230</v>
      </c>
      <c r="I55" s="39">
        <v>481799.52</v>
      </c>
      <c r="J55" s="39">
        <v>0</v>
      </c>
      <c r="K55" s="41">
        <v>40725</v>
      </c>
      <c r="L55" s="41">
        <v>41274</v>
      </c>
      <c r="M55" s="38" t="s">
        <v>26</v>
      </c>
      <c r="N55" s="42" t="s">
        <v>27</v>
      </c>
    </row>
    <row r="56" spans="1:14" s="4" customFormat="1" ht="49.5" customHeight="1">
      <c r="A56" s="35">
        <f t="shared" si="1"/>
        <v>54</v>
      </c>
      <c r="B56" s="36" t="s">
        <v>93</v>
      </c>
      <c r="C56" s="36" t="s">
        <v>110</v>
      </c>
      <c r="D56" s="36" t="s">
        <v>111</v>
      </c>
      <c r="E56" s="37">
        <f>214740+161988.75+231322.5</f>
        <v>608051.25</v>
      </c>
      <c r="F56" s="37">
        <v>0</v>
      </c>
      <c r="G56" s="37">
        <f t="shared" si="0"/>
        <v>608051.25</v>
      </c>
      <c r="H56" s="38" t="s">
        <v>112</v>
      </c>
      <c r="I56" s="39">
        <v>644220</v>
      </c>
      <c r="J56" s="39">
        <v>0</v>
      </c>
      <c r="K56" s="41">
        <v>40909</v>
      </c>
      <c r="L56" s="41">
        <v>41639</v>
      </c>
      <c r="M56" s="38" t="s">
        <v>113</v>
      </c>
      <c r="N56" s="42" t="s">
        <v>27</v>
      </c>
    </row>
    <row r="57" spans="1:14" s="4" customFormat="1" ht="49.5" customHeight="1">
      <c r="A57" s="35">
        <f t="shared" si="1"/>
        <v>55</v>
      </c>
      <c r="B57" s="36" t="s">
        <v>93</v>
      </c>
      <c r="C57" s="36" t="s">
        <v>267</v>
      </c>
      <c r="D57" s="36" t="s">
        <v>268</v>
      </c>
      <c r="E57" s="37">
        <v>396871.2</v>
      </c>
      <c r="F57" s="37">
        <v>0</v>
      </c>
      <c r="G57" s="37">
        <f t="shared" si="0"/>
        <v>396871.2</v>
      </c>
      <c r="H57" s="38" t="s">
        <v>269</v>
      </c>
      <c r="I57" s="39">
        <v>0</v>
      </c>
      <c r="J57" s="39">
        <v>0</v>
      </c>
      <c r="K57" s="41">
        <v>40909</v>
      </c>
      <c r="L57" s="41">
        <v>41274</v>
      </c>
      <c r="M57" s="38" t="s">
        <v>26</v>
      </c>
      <c r="N57" s="42" t="s">
        <v>68</v>
      </c>
    </row>
    <row r="58" spans="1:14" s="4" customFormat="1" ht="49.5" customHeight="1">
      <c r="A58" s="35">
        <f t="shared" si="1"/>
        <v>56</v>
      </c>
      <c r="B58" s="36" t="s">
        <v>114</v>
      </c>
      <c r="C58" s="36" t="s">
        <v>115</v>
      </c>
      <c r="D58" s="36" t="s">
        <v>116</v>
      </c>
      <c r="E58" s="37">
        <v>0</v>
      </c>
      <c r="F58" s="37">
        <v>0</v>
      </c>
      <c r="G58" s="37">
        <f t="shared" si="0"/>
        <v>0</v>
      </c>
      <c r="H58" s="38" t="s">
        <v>117</v>
      </c>
      <c r="I58" s="39">
        <v>120000</v>
      </c>
      <c r="J58" s="39">
        <v>120000</v>
      </c>
      <c r="K58" s="41">
        <v>39626</v>
      </c>
      <c r="L58" s="41">
        <v>40629</v>
      </c>
      <c r="M58" s="38" t="s">
        <v>26</v>
      </c>
      <c r="N58" s="42" t="s">
        <v>27</v>
      </c>
    </row>
    <row r="59" spans="1:14" s="4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119</v>
      </c>
      <c r="E59" s="37">
        <v>27319.22</v>
      </c>
      <c r="F59" s="37">
        <v>0</v>
      </c>
      <c r="G59" s="37">
        <f t="shared" si="0"/>
        <v>27319.22</v>
      </c>
      <c r="H59" s="38" t="s">
        <v>120</v>
      </c>
      <c r="I59" s="39">
        <v>50000</v>
      </c>
      <c r="J59" s="39">
        <v>27218.1</v>
      </c>
      <c r="K59" s="41">
        <v>40179</v>
      </c>
      <c r="L59" s="41" t="s">
        <v>67</v>
      </c>
      <c r="M59" s="38" t="s">
        <v>121</v>
      </c>
      <c r="N59" s="42" t="s">
        <v>27</v>
      </c>
    </row>
    <row r="60" spans="1:14" s="4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242</v>
      </c>
      <c r="E60" s="37">
        <f>6284.79+5879.32+5879.32+5879.32+6082.05+8665.02+8630.43+17895.44+9011.18</f>
        <v>74206.87</v>
      </c>
      <c r="F60" s="37">
        <v>0</v>
      </c>
      <c r="G60" s="37">
        <f t="shared" si="0"/>
        <v>74206.87</v>
      </c>
      <c r="H60" s="38" t="s">
        <v>120</v>
      </c>
      <c r="I60" s="39">
        <v>50000</v>
      </c>
      <c r="J60" s="39">
        <v>27218.1</v>
      </c>
      <c r="K60" s="41">
        <v>40179</v>
      </c>
      <c r="L60" s="41" t="s">
        <v>67</v>
      </c>
      <c r="M60" s="38" t="s">
        <v>121</v>
      </c>
      <c r="N60" s="42" t="s">
        <v>27</v>
      </c>
    </row>
    <row r="61" spans="1:14" s="4" customFormat="1" ht="49.5" customHeight="1">
      <c r="A61" s="35">
        <f t="shared" si="1"/>
        <v>59</v>
      </c>
      <c r="B61" s="36" t="s">
        <v>118</v>
      </c>
      <c r="C61" s="36" t="s">
        <v>10</v>
      </c>
      <c r="D61" s="36" t="s">
        <v>122</v>
      </c>
      <c r="E61" s="37">
        <v>0</v>
      </c>
      <c r="F61" s="37">
        <v>0</v>
      </c>
      <c r="G61" s="37">
        <f t="shared" si="0"/>
        <v>0</v>
      </c>
      <c r="H61" s="38" t="s">
        <v>123</v>
      </c>
      <c r="I61" s="39">
        <v>2950</v>
      </c>
      <c r="J61" s="39">
        <v>2950</v>
      </c>
      <c r="K61" s="41">
        <v>40118</v>
      </c>
      <c r="L61" s="41" t="s">
        <v>67</v>
      </c>
      <c r="M61" s="38" t="s">
        <v>26</v>
      </c>
      <c r="N61" s="42" t="s">
        <v>27</v>
      </c>
    </row>
    <row r="62" spans="1:14" s="4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124</v>
      </c>
      <c r="E62" s="37">
        <v>0</v>
      </c>
      <c r="F62" s="37">
        <v>0</v>
      </c>
      <c r="G62" s="37">
        <f t="shared" si="0"/>
        <v>0</v>
      </c>
      <c r="H62" s="38" t="s">
        <v>123</v>
      </c>
      <c r="I62" s="39">
        <v>900</v>
      </c>
      <c r="J62" s="39">
        <v>925</v>
      </c>
      <c r="K62" s="41">
        <v>40179</v>
      </c>
      <c r="L62" s="41" t="s">
        <v>67</v>
      </c>
      <c r="M62" s="38" t="s">
        <v>26</v>
      </c>
      <c r="N62" s="42" t="s">
        <v>27</v>
      </c>
    </row>
    <row r="63" spans="1:14" s="4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125</v>
      </c>
      <c r="E63" s="37">
        <v>9000</v>
      </c>
      <c r="F63" s="37">
        <v>0</v>
      </c>
      <c r="G63" s="37">
        <f t="shared" si="0"/>
        <v>9000</v>
      </c>
      <c r="H63" s="38" t="s">
        <v>126</v>
      </c>
      <c r="I63" s="39">
        <v>108000</v>
      </c>
      <c r="J63" s="39">
        <v>99000</v>
      </c>
      <c r="K63" s="41">
        <v>40544</v>
      </c>
      <c r="L63" s="41" t="s">
        <v>67</v>
      </c>
      <c r="M63" s="38" t="s">
        <v>26</v>
      </c>
      <c r="N63" s="42" t="s">
        <v>27</v>
      </c>
    </row>
    <row r="64" spans="1:14" s="4" customFormat="1" ht="49.5" customHeight="1">
      <c r="A64" s="35">
        <f t="shared" si="1"/>
        <v>62</v>
      </c>
      <c r="B64" s="36" t="s">
        <v>118</v>
      </c>
      <c r="C64" s="36" t="s">
        <v>10</v>
      </c>
      <c r="D64" s="36" t="s">
        <v>243</v>
      </c>
      <c r="E64" s="37">
        <f>9000+9000+9000+9000+9000+27000+18000+18000+18000+18000+18000</f>
        <v>162000</v>
      </c>
      <c r="F64" s="37">
        <v>0</v>
      </c>
      <c r="G64" s="37">
        <f t="shared" si="0"/>
        <v>162000</v>
      </c>
      <c r="H64" s="38" t="s">
        <v>126</v>
      </c>
      <c r="I64" s="39">
        <v>108000</v>
      </c>
      <c r="J64" s="39">
        <v>0</v>
      </c>
      <c r="K64" s="41">
        <v>40544</v>
      </c>
      <c r="L64" s="41" t="s">
        <v>67</v>
      </c>
      <c r="M64" s="38" t="s">
        <v>26</v>
      </c>
      <c r="N64" s="42" t="s">
        <v>27</v>
      </c>
    </row>
    <row r="65" spans="1:14" s="4" customFormat="1" ht="49.5" customHeight="1">
      <c r="A65" s="35">
        <f t="shared" si="1"/>
        <v>63</v>
      </c>
      <c r="B65" s="36" t="s">
        <v>118</v>
      </c>
      <c r="C65" s="36" t="s">
        <v>10</v>
      </c>
      <c r="D65" s="36" t="s">
        <v>127</v>
      </c>
      <c r="E65" s="37">
        <v>0</v>
      </c>
      <c r="F65" s="37">
        <v>0</v>
      </c>
      <c r="G65" s="37">
        <f t="shared" si="0"/>
        <v>0</v>
      </c>
      <c r="H65" s="38" t="s">
        <v>128</v>
      </c>
      <c r="I65" s="39">
        <v>6000</v>
      </c>
      <c r="J65" s="39">
        <v>6000</v>
      </c>
      <c r="K65" s="41">
        <v>39814</v>
      </c>
      <c r="L65" s="41" t="s">
        <v>67</v>
      </c>
      <c r="M65" s="38" t="s">
        <v>26</v>
      </c>
      <c r="N65" s="42" t="s">
        <v>27</v>
      </c>
    </row>
    <row r="66" spans="1:15" s="7" customFormat="1" ht="49.5" customHeight="1">
      <c r="A66" s="35">
        <f t="shared" si="1"/>
        <v>64</v>
      </c>
      <c r="B66" s="36" t="s">
        <v>118</v>
      </c>
      <c r="C66" s="36" t="s">
        <v>10</v>
      </c>
      <c r="D66" s="36" t="s">
        <v>244</v>
      </c>
      <c r="E66" s="37">
        <v>8793</v>
      </c>
      <c r="F66" s="37">
        <v>0</v>
      </c>
      <c r="G66" s="37">
        <f t="shared" si="0"/>
        <v>8793</v>
      </c>
      <c r="H66" s="38" t="s">
        <v>130</v>
      </c>
      <c r="I66" s="39">
        <v>60300</v>
      </c>
      <c r="J66" s="39">
        <v>50561.25</v>
      </c>
      <c r="K66" s="41" t="s">
        <v>131</v>
      </c>
      <c r="L66" s="41" t="s">
        <v>67</v>
      </c>
      <c r="M66" s="38" t="s">
        <v>26</v>
      </c>
      <c r="N66" s="42" t="s">
        <v>27</v>
      </c>
      <c r="O66" s="4"/>
    </row>
    <row r="67" spans="1:15" s="7" customFormat="1" ht="49.5" customHeight="1">
      <c r="A67" s="35">
        <f t="shared" si="1"/>
        <v>65</v>
      </c>
      <c r="B67" s="36" t="s">
        <v>118</v>
      </c>
      <c r="C67" s="36" t="s">
        <v>10</v>
      </c>
      <c r="D67" s="36" t="s">
        <v>245</v>
      </c>
      <c r="E67" s="37">
        <f>5025+5025+5025+2512.5+2512.5+2512.5+2512.5</f>
        <v>25125</v>
      </c>
      <c r="F67" s="37">
        <v>0</v>
      </c>
      <c r="G67" s="37">
        <f aca="true" t="shared" si="2" ref="G67:G114">E67+F67</f>
        <v>25125</v>
      </c>
      <c r="H67" s="38" t="s">
        <v>130</v>
      </c>
      <c r="I67" s="39">
        <v>60300</v>
      </c>
      <c r="J67" s="39">
        <v>0</v>
      </c>
      <c r="K67" s="41" t="s">
        <v>131</v>
      </c>
      <c r="L67" s="41" t="s">
        <v>67</v>
      </c>
      <c r="M67" s="38" t="s">
        <v>26</v>
      </c>
      <c r="N67" s="42" t="s">
        <v>27</v>
      </c>
      <c r="O67" s="4"/>
    </row>
    <row r="68" spans="1:15" s="7" customFormat="1" ht="49.5" customHeight="1">
      <c r="A68" s="35">
        <f aca="true" t="shared" si="3" ref="A68:A114">A67+1</f>
        <v>66</v>
      </c>
      <c r="B68" s="36" t="s">
        <v>118</v>
      </c>
      <c r="C68" s="36" t="s">
        <v>10</v>
      </c>
      <c r="D68" s="36" t="s">
        <v>132</v>
      </c>
      <c r="E68" s="37">
        <f>1000</f>
        <v>1000</v>
      </c>
      <c r="F68" s="37">
        <v>0</v>
      </c>
      <c r="G68" s="37">
        <f t="shared" si="2"/>
        <v>1000</v>
      </c>
      <c r="H68" s="38" t="s">
        <v>133</v>
      </c>
      <c r="I68" s="39">
        <v>12000</v>
      </c>
      <c r="J68" s="39">
        <v>11000</v>
      </c>
      <c r="K68" s="41">
        <v>40544</v>
      </c>
      <c r="L68" s="41" t="s">
        <v>67</v>
      </c>
      <c r="M68" s="38" t="s">
        <v>26</v>
      </c>
      <c r="N68" s="42" t="s">
        <v>27</v>
      </c>
      <c r="O68" s="4"/>
    </row>
    <row r="69" spans="1:15" s="7" customFormat="1" ht="49.5" customHeight="1">
      <c r="A69" s="35">
        <f t="shared" si="3"/>
        <v>67</v>
      </c>
      <c r="B69" s="36" t="s">
        <v>118</v>
      </c>
      <c r="C69" s="36" t="s">
        <v>10</v>
      </c>
      <c r="D69" s="36" t="s">
        <v>246</v>
      </c>
      <c r="E69" s="37">
        <f>1000+1000+1000+1000+1000+1000+1000+1000+1000+1000+1000</f>
        <v>11000</v>
      </c>
      <c r="F69" s="37">
        <v>0</v>
      </c>
      <c r="G69" s="37">
        <f t="shared" si="2"/>
        <v>11000</v>
      </c>
      <c r="H69" s="38" t="s">
        <v>133</v>
      </c>
      <c r="I69" s="39">
        <v>12000</v>
      </c>
      <c r="J69" s="39">
        <v>0</v>
      </c>
      <c r="K69" s="41">
        <v>40544</v>
      </c>
      <c r="L69" s="41" t="s">
        <v>67</v>
      </c>
      <c r="M69" s="38" t="s">
        <v>26</v>
      </c>
      <c r="N69" s="42" t="s">
        <v>27</v>
      </c>
      <c r="O69" s="4"/>
    </row>
    <row r="70" spans="1:15" s="7" customFormat="1" ht="49.5" customHeight="1">
      <c r="A70" s="35">
        <f t="shared" si="3"/>
        <v>68</v>
      </c>
      <c r="B70" s="36" t="s">
        <v>118</v>
      </c>
      <c r="C70" s="36" t="s">
        <v>15</v>
      </c>
      <c r="D70" s="36" t="s">
        <v>134</v>
      </c>
      <c r="E70" s="37">
        <f>9000+9000+9000+9000+9000+9000+9000+9000+9000+9000+9000</f>
        <v>99000</v>
      </c>
      <c r="F70" s="37">
        <v>0</v>
      </c>
      <c r="G70" s="37">
        <f t="shared" si="2"/>
        <v>99000</v>
      </c>
      <c r="H70" s="38" t="s">
        <v>135</v>
      </c>
      <c r="I70" s="39">
        <v>108000</v>
      </c>
      <c r="J70" s="39">
        <v>0</v>
      </c>
      <c r="K70" s="41">
        <v>40544</v>
      </c>
      <c r="L70" s="41" t="s">
        <v>67</v>
      </c>
      <c r="M70" s="38" t="s">
        <v>26</v>
      </c>
      <c r="N70" s="42" t="s">
        <v>27</v>
      </c>
      <c r="O70" s="4"/>
    </row>
    <row r="71" spans="1:15" s="7" customFormat="1" ht="49.5" customHeight="1">
      <c r="A71" s="35">
        <f t="shared" si="3"/>
        <v>69</v>
      </c>
      <c r="B71" s="36" t="s">
        <v>118</v>
      </c>
      <c r="C71" s="36" t="s">
        <v>15</v>
      </c>
      <c r="D71" s="36" t="s">
        <v>247</v>
      </c>
      <c r="E71" s="37">
        <f>12500+14700+14700+14700+14700+14700+29400+14700+14700</f>
        <v>144800</v>
      </c>
      <c r="F71" s="37">
        <v>0</v>
      </c>
      <c r="G71" s="37">
        <f t="shared" si="2"/>
        <v>144800</v>
      </c>
      <c r="H71" s="38" t="s">
        <v>137</v>
      </c>
      <c r="I71" s="39">
        <f>12500*12</f>
        <v>150000</v>
      </c>
      <c r="J71" s="39">
        <v>0</v>
      </c>
      <c r="K71" s="41">
        <v>40544</v>
      </c>
      <c r="L71" s="41" t="s">
        <v>67</v>
      </c>
      <c r="M71" s="38" t="s">
        <v>26</v>
      </c>
      <c r="N71" s="42" t="s">
        <v>27</v>
      </c>
      <c r="O71" s="4"/>
    </row>
    <row r="72" spans="1:15" s="7" customFormat="1" ht="49.5" customHeight="1">
      <c r="A72" s="35">
        <f t="shared" si="3"/>
        <v>70</v>
      </c>
      <c r="B72" s="36" t="s">
        <v>118</v>
      </c>
      <c r="C72" s="36" t="s">
        <v>15</v>
      </c>
      <c r="D72" s="36" t="s">
        <v>136</v>
      </c>
      <c r="E72" s="37">
        <v>10300</v>
      </c>
      <c r="F72" s="37">
        <v>0</v>
      </c>
      <c r="G72" s="37">
        <f t="shared" si="2"/>
        <v>10300</v>
      </c>
      <c r="H72" s="38" t="s">
        <v>137</v>
      </c>
      <c r="I72" s="39">
        <f>10300*12</f>
        <v>123600</v>
      </c>
      <c r="J72" s="39">
        <v>113300</v>
      </c>
      <c r="K72" s="41">
        <v>40544</v>
      </c>
      <c r="L72" s="41" t="s">
        <v>67</v>
      </c>
      <c r="M72" s="38" t="s">
        <v>26</v>
      </c>
      <c r="N72" s="42" t="s">
        <v>27</v>
      </c>
      <c r="O72" s="4"/>
    </row>
    <row r="73" spans="1:15" s="7" customFormat="1" ht="49.5" customHeight="1">
      <c r="A73" s="35">
        <f t="shared" si="3"/>
        <v>71</v>
      </c>
      <c r="B73" s="36" t="s">
        <v>118</v>
      </c>
      <c r="C73" s="36" t="s">
        <v>15</v>
      </c>
      <c r="D73" s="36" t="s">
        <v>138</v>
      </c>
      <c r="E73" s="37">
        <v>2200</v>
      </c>
      <c r="F73" s="37">
        <v>0</v>
      </c>
      <c r="G73" s="37">
        <f t="shared" si="2"/>
        <v>2200</v>
      </c>
      <c r="H73" s="38" t="s">
        <v>139</v>
      </c>
      <c r="I73" s="39">
        <v>26400</v>
      </c>
      <c r="J73" s="39">
        <f>11*2200</f>
        <v>24200</v>
      </c>
      <c r="K73" s="41">
        <v>40544</v>
      </c>
      <c r="L73" s="41" t="s">
        <v>67</v>
      </c>
      <c r="M73" s="38" t="s">
        <v>26</v>
      </c>
      <c r="N73" s="42" t="s">
        <v>27</v>
      </c>
      <c r="O73" s="4"/>
    </row>
    <row r="74" spans="1:15" s="7" customFormat="1" ht="49.5" customHeight="1">
      <c r="A74" s="35">
        <f t="shared" si="3"/>
        <v>72</v>
      </c>
      <c r="B74" s="36" t="s">
        <v>118</v>
      </c>
      <c r="C74" s="36" t="s">
        <v>15</v>
      </c>
      <c r="D74" s="36" t="s">
        <v>140</v>
      </c>
      <c r="E74" s="37">
        <f>2835</f>
        <v>2835</v>
      </c>
      <c r="F74" s="37">
        <v>0</v>
      </c>
      <c r="G74" s="37">
        <f t="shared" si="2"/>
        <v>2835</v>
      </c>
      <c r="H74" s="38" t="s">
        <v>141</v>
      </c>
      <c r="I74" s="39">
        <v>34020</v>
      </c>
      <c r="J74" s="39">
        <f>11*2835</f>
        <v>31185</v>
      </c>
      <c r="K74" s="41">
        <v>40544</v>
      </c>
      <c r="L74" s="41" t="s">
        <v>67</v>
      </c>
      <c r="M74" s="38" t="s">
        <v>26</v>
      </c>
      <c r="N74" s="42" t="s">
        <v>27</v>
      </c>
      <c r="O74" s="4"/>
    </row>
    <row r="75" spans="1:15" s="7" customFormat="1" ht="49.5" customHeight="1">
      <c r="A75" s="35">
        <f t="shared" si="3"/>
        <v>73</v>
      </c>
      <c r="B75" s="36" t="s">
        <v>118</v>
      </c>
      <c r="C75" s="36" t="s">
        <v>15</v>
      </c>
      <c r="D75" s="36" t="s">
        <v>248</v>
      </c>
      <c r="E75" s="37">
        <f>2835+2835+2835+2835+2835+5670+2835+2835+2835+2835</f>
        <v>31185</v>
      </c>
      <c r="F75" s="37">
        <v>0</v>
      </c>
      <c r="G75" s="37">
        <f t="shared" si="2"/>
        <v>31185</v>
      </c>
      <c r="H75" s="38" t="s">
        <v>141</v>
      </c>
      <c r="I75" s="39">
        <v>34020</v>
      </c>
      <c r="J75" s="39">
        <v>0</v>
      </c>
      <c r="K75" s="41">
        <v>40544</v>
      </c>
      <c r="L75" s="41" t="s">
        <v>67</v>
      </c>
      <c r="M75" s="38" t="s">
        <v>26</v>
      </c>
      <c r="N75" s="42" t="s">
        <v>27</v>
      </c>
      <c r="O75" s="4"/>
    </row>
    <row r="76" spans="1:15" s="7" customFormat="1" ht="49.5" customHeight="1">
      <c r="A76" s="35">
        <f t="shared" si="3"/>
        <v>74</v>
      </c>
      <c r="B76" s="36" t="s">
        <v>118</v>
      </c>
      <c r="C76" s="36" t="s">
        <v>15</v>
      </c>
      <c r="D76" s="36" t="s">
        <v>234</v>
      </c>
      <c r="E76" s="37">
        <v>0</v>
      </c>
      <c r="F76" s="37">
        <v>0</v>
      </c>
      <c r="G76" s="37">
        <f t="shared" si="2"/>
        <v>0</v>
      </c>
      <c r="H76" s="38" t="s">
        <v>143</v>
      </c>
      <c r="I76" s="39">
        <v>12000</v>
      </c>
      <c r="J76" s="39">
        <v>1000</v>
      </c>
      <c r="K76" s="41">
        <v>40544</v>
      </c>
      <c r="L76" s="41" t="s">
        <v>67</v>
      </c>
      <c r="M76" s="38" t="s">
        <v>26</v>
      </c>
      <c r="N76" s="42" t="s">
        <v>27</v>
      </c>
      <c r="O76" s="4"/>
    </row>
    <row r="77" spans="1:15" s="7" customFormat="1" ht="49.5" customHeight="1">
      <c r="A77" s="35">
        <f t="shared" si="3"/>
        <v>75</v>
      </c>
      <c r="B77" s="36" t="s">
        <v>118</v>
      </c>
      <c r="C77" s="36" t="s">
        <v>10</v>
      </c>
      <c r="D77" s="36" t="s">
        <v>144</v>
      </c>
      <c r="E77" s="37">
        <f>1903.88+1903.88</f>
        <v>3807.76</v>
      </c>
      <c r="F77" s="37">
        <v>0</v>
      </c>
      <c r="G77" s="37">
        <f t="shared" si="2"/>
        <v>3807.76</v>
      </c>
      <c r="H77" s="38" t="s">
        <v>145</v>
      </c>
      <c r="I77" s="39">
        <v>11450</v>
      </c>
      <c r="J77" s="39">
        <v>0</v>
      </c>
      <c r="K77" s="41">
        <v>40544</v>
      </c>
      <c r="L77" s="41" t="s">
        <v>67</v>
      </c>
      <c r="M77" s="38" t="s">
        <v>26</v>
      </c>
      <c r="N77" s="42" t="s">
        <v>27</v>
      </c>
      <c r="O77" s="4"/>
    </row>
    <row r="78" spans="1:15" s="7" customFormat="1" ht="49.5" customHeight="1">
      <c r="A78" s="35">
        <f t="shared" si="3"/>
        <v>76</v>
      </c>
      <c r="B78" s="36" t="s">
        <v>118</v>
      </c>
      <c r="C78" s="36" t="s">
        <v>10</v>
      </c>
      <c r="D78" s="36" t="s">
        <v>249</v>
      </c>
      <c r="E78" s="37">
        <f>1113.57+1113.57+1113.57+1113.57+3017.45+1113.57+999.86+999.86+999.86+1999.72</f>
        <v>13584.6</v>
      </c>
      <c r="F78" s="37">
        <v>0</v>
      </c>
      <c r="G78" s="37">
        <f t="shared" si="2"/>
        <v>13584.6</v>
      </c>
      <c r="H78" s="38" t="s">
        <v>145</v>
      </c>
      <c r="I78" s="39">
        <v>11450</v>
      </c>
      <c r="J78" s="39">
        <v>0</v>
      </c>
      <c r="K78" s="41">
        <v>40544</v>
      </c>
      <c r="L78" s="41" t="s">
        <v>67</v>
      </c>
      <c r="M78" s="38" t="s">
        <v>26</v>
      </c>
      <c r="N78" s="42" t="s">
        <v>27</v>
      </c>
      <c r="O78" s="4"/>
    </row>
    <row r="79" spans="1:15" s="7" customFormat="1" ht="49.5" customHeight="1">
      <c r="A79" s="35">
        <f t="shared" si="3"/>
        <v>77</v>
      </c>
      <c r="B79" s="36" t="s">
        <v>118</v>
      </c>
      <c r="C79" s="36" t="s">
        <v>146</v>
      </c>
      <c r="D79" s="36" t="s">
        <v>353</v>
      </c>
      <c r="E79" s="37">
        <v>0</v>
      </c>
      <c r="F79" s="37">
        <v>0</v>
      </c>
      <c r="G79" s="37">
        <f t="shared" si="2"/>
        <v>0</v>
      </c>
      <c r="H79" s="38" t="s">
        <v>148</v>
      </c>
      <c r="I79" s="39">
        <v>480000</v>
      </c>
      <c r="J79" s="39">
        <v>480000</v>
      </c>
      <c r="K79" s="41">
        <v>40141</v>
      </c>
      <c r="L79" s="41">
        <v>41049</v>
      </c>
      <c r="M79" s="38" t="s">
        <v>26</v>
      </c>
      <c r="N79" s="42" t="s">
        <v>27</v>
      </c>
      <c r="O79" s="4"/>
    </row>
    <row r="80" spans="1:15" s="7" customFormat="1" ht="49.5" customHeight="1">
      <c r="A80" s="35">
        <f t="shared" si="3"/>
        <v>78</v>
      </c>
      <c r="B80" s="36" t="s">
        <v>149</v>
      </c>
      <c r="C80" s="36" t="s">
        <v>150</v>
      </c>
      <c r="D80" s="36" t="s">
        <v>151</v>
      </c>
      <c r="E80" s="37">
        <v>0</v>
      </c>
      <c r="F80" s="37">
        <v>0</v>
      </c>
      <c r="G80" s="37">
        <f t="shared" si="2"/>
        <v>0</v>
      </c>
      <c r="H80" s="38" t="s">
        <v>152</v>
      </c>
      <c r="I80" s="39">
        <v>1800000</v>
      </c>
      <c r="J80" s="39">
        <v>1080000</v>
      </c>
      <c r="K80" s="41">
        <v>40638</v>
      </c>
      <c r="L80" s="41">
        <v>41002</v>
      </c>
      <c r="M80" s="38" t="s">
        <v>26</v>
      </c>
      <c r="N80" s="42" t="s">
        <v>68</v>
      </c>
      <c r="O80" s="4"/>
    </row>
    <row r="81" spans="1:15" s="7" customFormat="1" ht="49.5" customHeight="1">
      <c r="A81" s="35">
        <f t="shared" si="3"/>
        <v>79</v>
      </c>
      <c r="B81" s="36" t="s">
        <v>153</v>
      </c>
      <c r="C81" s="36" t="s">
        <v>154</v>
      </c>
      <c r="D81" s="36" t="s">
        <v>155</v>
      </c>
      <c r="E81" s="37">
        <v>0</v>
      </c>
      <c r="F81" s="37">
        <v>0</v>
      </c>
      <c r="G81" s="37">
        <f t="shared" si="2"/>
        <v>0</v>
      </c>
      <c r="H81" s="38" t="s">
        <v>156</v>
      </c>
      <c r="I81" s="39">
        <v>5860725</v>
      </c>
      <c r="J81" s="39">
        <v>5860725</v>
      </c>
      <c r="K81" s="41">
        <v>38884</v>
      </c>
      <c r="L81" s="41">
        <v>40451</v>
      </c>
      <c r="M81" s="38" t="s">
        <v>26</v>
      </c>
      <c r="N81" s="42" t="s">
        <v>27</v>
      </c>
      <c r="O81" s="4"/>
    </row>
    <row r="82" spans="1:15" s="7" customFormat="1" ht="49.5" customHeight="1">
      <c r="A82" s="35">
        <f t="shared" si="3"/>
        <v>80</v>
      </c>
      <c r="B82" s="36" t="s">
        <v>153</v>
      </c>
      <c r="C82" s="36" t="s">
        <v>154</v>
      </c>
      <c r="D82" s="36" t="s">
        <v>157</v>
      </c>
      <c r="E82" s="37">
        <f>723449.59+353122.79+112433.15+134435.75+243087.79+33605.53</f>
        <v>1600134.5999999999</v>
      </c>
      <c r="F82" s="37">
        <v>0</v>
      </c>
      <c r="G82" s="37">
        <f t="shared" si="2"/>
        <v>1600134.5999999999</v>
      </c>
      <c r="H82" s="38" t="s">
        <v>158</v>
      </c>
      <c r="I82" s="39">
        <v>4900000</v>
      </c>
      <c r="J82" s="39">
        <f>571422.36+2000142.18</f>
        <v>2571564.54</v>
      </c>
      <c r="K82" s="41">
        <v>39447</v>
      </c>
      <c r="L82" s="41">
        <v>40482</v>
      </c>
      <c r="M82" s="38" t="s">
        <v>159</v>
      </c>
      <c r="N82" s="42" t="s">
        <v>27</v>
      </c>
      <c r="O82" s="4"/>
    </row>
    <row r="83" spans="1:15" s="7" customFormat="1" ht="49.5" customHeight="1">
      <c r="A83" s="35">
        <f t="shared" si="3"/>
        <v>81</v>
      </c>
      <c r="B83" s="36" t="s">
        <v>153</v>
      </c>
      <c r="C83" s="36" t="s">
        <v>154</v>
      </c>
      <c r="D83" s="36" t="s">
        <v>160</v>
      </c>
      <c r="E83" s="37">
        <v>0</v>
      </c>
      <c r="F83" s="37">
        <v>0</v>
      </c>
      <c r="G83" s="37">
        <f t="shared" si="2"/>
        <v>0</v>
      </c>
      <c r="H83" s="38" t="s">
        <v>161</v>
      </c>
      <c r="I83" s="39">
        <v>8195570</v>
      </c>
      <c r="J83" s="39">
        <f>827000+110901.25+287371.7</f>
        <v>1225272.95</v>
      </c>
      <c r="K83" s="41">
        <v>39447</v>
      </c>
      <c r="L83" s="41">
        <v>40471</v>
      </c>
      <c r="M83" s="38" t="s">
        <v>159</v>
      </c>
      <c r="N83" s="42" t="s">
        <v>27</v>
      </c>
      <c r="O83" s="4"/>
    </row>
    <row r="84" spans="1:15" s="7" customFormat="1" ht="49.5" customHeight="1">
      <c r="A84" s="35">
        <f t="shared" si="3"/>
        <v>82</v>
      </c>
      <c r="B84" s="36" t="s">
        <v>153</v>
      </c>
      <c r="C84" s="36" t="s">
        <v>162</v>
      </c>
      <c r="D84" s="36" t="s">
        <v>163</v>
      </c>
      <c r="E84" s="37">
        <v>0</v>
      </c>
      <c r="F84" s="37">
        <v>0</v>
      </c>
      <c r="G84" s="37">
        <f t="shared" si="2"/>
        <v>0</v>
      </c>
      <c r="H84" s="38" t="s">
        <v>164</v>
      </c>
      <c r="I84" s="39">
        <v>394200</v>
      </c>
      <c r="J84" s="39">
        <v>394200</v>
      </c>
      <c r="K84" s="41">
        <v>40528</v>
      </c>
      <c r="L84" s="41">
        <v>41455</v>
      </c>
      <c r="M84" s="38" t="s">
        <v>26</v>
      </c>
      <c r="N84" s="42" t="s">
        <v>27</v>
      </c>
      <c r="O84" s="4"/>
    </row>
    <row r="85" spans="1:14" s="4" customFormat="1" ht="49.5" customHeight="1">
      <c r="A85" s="35">
        <f t="shared" si="3"/>
        <v>83</v>
      </c>
      <c r="B85" s="36" t="s">
        <v>153</v>
      </c>
      <c r="C85" s="36" t="s">
        <v>162</v>
      </c>
      <c r="D85" s="36" t="s">
        <v>165</v>
      </c>
      <c r="E85" s="37">
        <v>57311.33</v>
      </c>
      <c r="F85" s="37">
        <v>0</v>
      </c>
      <c r="G85" s="37">
        <f t="shared" si="2"/>
        <v>57311.33</v>
      </c>
      <c r="H85" s="38" t="s">
        <v>166</v>
      </c>
      <c r="I85" s="39">
        <v>255740</v>
      </c>
      <c r="J85" s="39">
        <v>86491.27</v>
      </c>
      <c r="K85" s="41">
        <v>40528</v>
      </c>
      <c r="L85" s="41">
        <v>41455</v>
      </c>
      <c r="M85" s="38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153</v>
      </c>
      <c r="C86" s="36" t="s">
        <v>162</v>
      </c>
      <c r="D86" s="36" t="s">
        <v>167</v>
      </c>
      <c r="E86" s="37">
        <v>0</v>
      </c>
      <c r="F86" s="37">
        <v>0</v>
      </c>
      <c r="G86" s="37">
        <f t="shared" si="2"/>
        <v>0</v>
      </c>
      <c r="H86" s="38" t="s">
        <v>168</v>
      </c>
      <c r="I86" s="39">
        <v>295300</v>
      </c>
      <c r="J86" s="39">
        <v>103414.06</v>
      </c>
      <c r="K86" s="41">
        <v>40528</v>
      </c>
      <c r="L86" s="41">
        <v>41455</v>
      </c>
      <c r="M86" s="38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153</v>
      </c>
      <c r="C87" s="36" t="s">
        <v>162</v>
      </c>
      <c r="D87" s="36" t="s">
        <v>169</v>
      </c>
      <c r="E87" s="37">
        <v>0</v>
      </c>
      <c r="F87" s="37">
        <v>0</v>
      </c>
      <c r="G87" s="37">
        <f t="shared" si="2"/>
        <v>0</v>
      </c>
      <c r="H87" s="38" t="s">
        <v>170</v>
      </c>
      <c r="I87" s="39">
        <v>245850</v>
      </c>
      <c r="J87" s="39">
        <v>85383.7</v>
      </c>
      <c r="K87" s="41">
        <v>40528</v>
      </c>
      <c r="L87" s="41">
        <v>41455</v>
      </c>
      <c r="M87" s="38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153</v>
      </c>
      <c r="C88" s="36" t="s">
        <v>327</v>
      </c>
      <c r="D88" s="36" t="s">
        <v>328</v>
      </c>
      <c r="E88" s="37">
        <v>68883.6</v>
      </c>
      <c r="F88" s="37">
        <v>0</v>
      </c>
      <c r="G88" s="37">
        <f t="shared" si="2"/>
        <v>68883.6</v>
      </c>
      <c r="H88" s="38" t="s">
        <v>329</v>
      </c>
      <c r="I88" s="39">
        <v>145324.06</v>
      </c>
      <c r="J88" s="39">
        <v>0</v>
      </c>
      <c r="K88" s="41">
        <v>40529</v>
      </c>
      <c r="L88" s="41">
        <v>41363</v>
      </c>
      <c r="M88" s="38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153</v>
      </c>
      <c r="C89" s="36" t="s">
        <v>327</v>
      </c>
      <c r="D89" s="36" t="s">
        <v>354</v>
      </c>
      <c r="E89" s="37">
        <v>361024.1</v>
      </c>
      <c r="F89" s="37">
        <v>0</v>
      </c>
      <c r="G89" s="37">
        <f t="shared" si="2"/>
        <v>361024.1</v>
      </c>
      <c r="H89" s="38" t="s">
        <v>355</v>
      </c>
      <c r="I89" s="39">
        <v>987600</v>
      </c>
      <c r="J89" s="39">
        <v>0</v>
      </c>
      <c r="K89" s="41">
        <v>40543</v>
      </c>
      <c r="L89" s="41">
        <v>41455</v>
      </c>
      <c r="M89" s="38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153</v>
      </c>
      <c r="C90" s="36" t="s">
        <v>304</v>
      </c>
      <c r="D90" s="36" t="s">
        <v>305</v>
      </c>
      <c r="E90" s="37">
        <f>200000+191600</f>
        <v>391600</v>
      </c>
      <c r="F90" s="37">
        <v>32431.18</v>
      </c>
      <c r="G90" s="37">
        <f t="shared" si="2"/>
        <v>424031.18</v>
      </c>
      <c r="H90" s="38" t="s">
        <v>306</v>
      </c>
      <c r="I90" s="39">
        <v>400000</v>
      </c>
      <c r="J90" s="39">
        <v>0</v>
      </c>
      <c r="K90" s="41">
        <v>40529</v>
      </c>
      <c r="L90" s="41">
        <v>41273</v>
      </c>
      <c r="M90" s="38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171</v>
      </c>
      <c r="C91" s="36" t="s">
        <v>172</v>
      </c>
      <c r="D91" s="36" t="s">
        <v>173</v>
      </c>
      <c r="E91" s="37">
        <v>47677.5</v>
      </c>
      <c r="F91" s="37">
        <v>0</v>
      </c>
      <c r="G91" s="37">
        <f t="shared" si="2"/>
        <v>47677.5</v>
      </c>
      <c r="H91" s="38" t="s">
        <v>174</v>
      </c>
      <c r="I91" s="39">
        <v>97500</v>
      </c>
      <c r="J91" s="39">
        <v>48750</v>
      </c>
      <c r="K91" s="41">
        <v>40057</v>
      </c>
      <c r="L91" s="41">
        <v>40452</v>
      </c>
      <c r="M91" s="38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175</v>
      </c>
      <c r="C92" s="36" t="s">
        <v>176</v>
      </c>
      <c r="D92" s="36" t="s">
        <v>177</v>
      </c>
      <c r="E92" s="37">
        <v>0</v>
      </c>
      <c r="F92" s="37">
        <v>0</v>
      </c>
      <c r="G92" s="37">
        <f t="shared" si="2"/>
        <v>0</v>
      </c>
      <c r="H92" s="38" t="s">
        <v>178</v>
      </c>
      <c r="I92" s="39">
        <v>146250</v>
      </c>
      <c r="J92" s="39">
        <v>146250</v>
      </c>
      <c r="K92" s="41">
        <v>39812</v>
      </c>
      <c r="L92" s="41">
        <v>40663</v>
      </c>
      <c r="M92" s="38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175</v>
      </c>
      <c r="C93" s="36" t="s">
        <v>176</v>
      </c>
      <c r="D93" s="36" t="s">
        <v>179</v>
      </c>
      <c r="E93" s="37">
        <v>0</v>
      </c>
      <c r="F93" s="37">
        <v>70825</v>
      </c>
      <c r="G93" s="37">
        <f t="shared" si="2"/>
        <v>70825</v>
      </c>
      <c r="H93" s="38" t="s">
        <v>180</v>
      </c>
      <c r="I93" s="39">
        <v>254104.34</v>
      </c>
      <c r="J93" s="39">
        <v>254104.34</v>
      </c>
      <c r="K93" s="41">
        <v>40361</v>
      </c>
      <c r="L93" s="41">
        <v>40723</v>
      </c>
      <c r="M93" s="38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182</v>
      </c>
      <c r="D94" s="36" t="s">
        <v>236</v>
      </c>
      <c r="E94" s="37">
        <f>24192.64+24192.64</f>
        <v>48385.28</v>
      </c>
      <c r="F94" s="37">
        <v>0</v>
      </c>
      <c r="G94" s="37">
        <f t="shared" si="2"/>
        <v>48385.28</v>
      </c>
      <c r="H94" s="44" t="s">
        <v>307</v>
      </c>
      <c r="I94" s="45">
        <v>72000</v>
      </c>
      <c r="J94" s="45">
        <v>71997.99</v>
      </c>
      <c r="K94" s="41">
        <v>40544</v>
      </c>
      <c r="L94" s="41" t="s">
        <v>67</v>
      </c>
      <c r="M94" s="46" t="s">
        <v>26</v>
      </c>
      <c r="N94" s="42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36" t="s">
        <v>185</v>
      </c>
      <c r="D95" s="36" t="s">
        <v>237</v>
      </c>
      <c r="E95" s="37">
        <f>25000+25000+25000+7954.57</f>
        <v>82954.57</v>
      </c>
      <c r="F95" s="37">
        <v>0</v>
      </c>
      <c r="G95" s="37">
        <f t="shared" si="2"/>
        <v>82954.57</v>
      </c>
      <c r="H95" s="44" t="s">
        <v>308</v>
      </c>
      <c r="I95" s="45">
        <v>105000</v>
      </c>
      <c r="J95" s="45">
        <v>82954.57</v>
      </c>
      <c r="K95" s="41">
        <v>40544</v>
      </c>
      <c r="L95" s="41" t="s">
        <v>67</v>
      </c>
      <c r="M95" s="46" t="s">
        <v>26</v>
      </c>
      <c r="N95" s="42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36" t="s">
        <v>188</v>
      </c>
      <c r="D96" s="36" t="s">
        <v>336</v>
      </c>
      <c r="E96" s="37">
        <v>500000</v>
      </c>
      <c r="F96" s="37">
        <v>0</v>
      </c>
      <c r="G96" s="37">
        <f t="shared" si="2"/>
        <v>500000</v>
      </c>
      <c r="H96" s="44" t="s">
        <v>309</v>
      </c>
      <c r="I96" s="45">
        <v>2000000</v>
      </c>
      <c r="J96" s="45">
        <f>200000+1300000</f>
        <v>1500000</v>
      </c>
      <c r="K96" s="41">
        <v>40057</v>
      </c>
      <c r="L96" s="41" t="s">
        <v>67</v>
      </c>
      <c r="M96" s="46" t="s">
        <v>26</v>
      </c>
      <c r="N96" s="42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36" t="s">
        <v>191</v>
      </c>
      <c r="D97" s="36" t="s">
        <v>250</v>
      </c>
      <c r="E97" s="37">
        <f>8800+17600+8800+8800+8800+8800+8800+8800+8800+8800+22000</f>
        <v>118800</v>
      </c>
      <c r="F97" s="37">
        <v>0</v>
      </c>
      <c r="G97" s="37">
        <f t="shared" si="2"/>
        <v>118800</v>
      </c>
      <c r="H97" s="44" t="s">
        <v>310</v>
      </c>
      <c r="I97" s="45">
        <v>105600</v>
      </c>
      <c r="J97" s="45">
        <v>88000</v>
      </c>
      <c r="K97" s="41">
        <v>40544</v>
      </c>
      <c r="L97" s="41" t="s">
        <v>67</v>
      </c>
      <c r="M97" s="46" t="s">
        <v>26</v>
      </c>
      <c r="N97" s="42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36" t="s">
        <v>311</v>
      </c>
      <c r="D98" s="36" t="s">
        <v>312</v>
      </c>
      <c r="E98" s="37">
        <f>160000+40000+40000+40000+80000</f>
        <v>360000</v>
      </c>
      <c r="F98" s="37">
        <v>0</v>
      </c>
      <c r="G98" s="37">
        <f t="shared" si="2"/>
        <v>360000</v>
      </c>
      <c r="H98" s="44" t="s">
        <v>310</v>
      </c>
      <c r="I98" s="45">
        <v>480000</v>
      </c>
      <c r="J98" s="37">
        <v>0</v>
      </c>
      <c r="K98" s="41">
        <v>40909</v>
      </c>
      <c r="L98" s="41" t="s">
        <v>67</v>
      </c>
      <c r="M98" s="46" t="s">
        <v>26</v>
      </c>
      <c r="N98" s="42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36" t="s">
        <v>337</v>
      </c>
      <c r="D99" s="36" t="s">
        <v>338</v>
      </c>
      <c r="E99" s="37">
        <f>700000+175000</f>
        <v>875000</v>
      </c>
      <c r="F99" s="37">
        <v>2800000</v>
      </c>
      <c r="G99" s="37">
        <f t="shared" si="2"/>
        <v>3675000</v>
      </c>
      <c r="H99" s="44" t="s">
        <v>339</v>
      </c>
      <c r="I99" s="45">
        <v>2100000</v>
      </c>
      <c r="J99" s="37">
        <v>0</v>
      </c>
      <c r="K99" s="41">
        <v>40969</v>
      </c>
      <c r="L99" s="41" t="s">
        <v>67</v>
      </c>
      <c r="M99" s="46" t="s">
        <v>26</v>
      </c>
      <c r="N99" s="42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36" t="s">
        <v>194</v>
      </c>
      <c r="D100" s="36" t="s">
        <v>251</v>
      </c>
      <c r="E100" s="37">
        <f>96652.2+32217.4+32217.4+64434.8+32217.4+32217.4+32217.4+32217.4+32217.4</f>
        <v>386608.80000000005</v>
      </c>
      <c r="F100" s="37">
        <v>0</v>
      </c>
      <c r="G100" s="37">
        <f t="shared" si="2"/>
        <v>386608.80000000005</v>
      </c>
      <c r="H100" s="44" t="s">
        <v>196</v>
      </c>
      <c r="I100" s="45">
        <v>386608.8</v>
      </c>
      <c r="J100" s="37">
        <v>354391.4</v>
      </c>
      <c r="K100" s="41">
        <v>40544</v>
      </c>
      <c r="L100" s="41" t="s">
        <v>67</v>
      </c>
      <c r="M100" s="46" t="s">
        <v>26</v>
      </c>
      <c r="N100" s="42" t="s">
        <v>27</v>
      </c>
    </row>
    <row r="101" spans="1:14" s="4" customFormat="1" ht="49.5" customHeight="1">
      <c r="A101" s="35">
        <f t="shared" si="3"/>
        <v>99</v>
      </c>
      <c r="B101" s="36" t="s">
        <v>181</v>
      </c>
      <c r="C101" s="36" t="s">
        <v>185</v>
      </c>
      <c r="D101" s="36" t="s">
        <v>197</v>
      </c>
      <c r="E101" s="37">
        <f>36000+36000</f>
        <v>72000</v>
      </c>
      <c r="F101" s="37">
        <v>0</v>
      </c>
      <c r="G101" s="37">
        <f t="shared" si="2"/>
        <v>72000</v>
      </c>
      <c r="H101" s="44" t="s">
        <v>184</v>
      </c>
      <c r="I101" s="45">
        <v>36000</v>
      </c>
      <c r="J101" s="37">
        <v>0</v>
      </c>
      <c r="K101" s="41">
        <v>40544</v>
      </c>
      <c r="L101" s="41" t="s">
        <v>67</v>
      </c>
      <c r="M101" s="46" t="s">
        <v>26</v>
      </c>
      <c r="N101" s="42" t="s">
        <v>27</v>
      </c>
    </row>
    <row r="102" spans="1:14" s="4" customFormat="1" ht="49.5" customHeight="1">
      <c r="A102" s="35">
        <f t="shared" si="3"/>
        <v>100</v>
      </c>
      <c r="B102" s="36" t="s">
        <v>181</v>
      </c>
      <c r="C102" s="36" t="s">
        <v>185</v>
      </c>
      <c r="D102" s="36" t="s">
        <v>198</v>
      </c>
      <c r="E102" s="37">
        <f>4407.62+71493.36+72156.88+23104.62+72156.88</f>
        <v>243319.36</v>
      </c>
      <c r="F102" s="37">
        <v>0</v>
      </c>
      <c r="G102" s="37">
        <f t="shared" si="2"/>
        <v>243319.36</v>
      </c>
      <c r="H102" s="44" t="s">
        <v>184</v>
      </c>
      <c r="I102" s="45">
        <v>245000</v>
      </c>
      <c r="J102" s="37">
        <v>237337.58</v>
      </c>
      <c r="K102" s="41">
        <v>40544</v>
      </c>
      <c r="L102" s="41" t="s">
        <v>67</v>
      </c>
      <c r="M102" s="46" t="s">
        <v>26</v>
      </c>
      <c r="N102" s="42" t="s">
        <v>27</v>
      </c>
    </row>
    <row r="103" spans="1:14" s="4" customFormat="1" ht="49.5" customHeight="1">
      <c r="A103" s="35">
        <f t="shared" si="3"/>
        <v>101</v>
      </c>
      <c r="B103" s="36" t="s">
        <v>181</v>
      </c>
      <c r="C103" s="36" t="s">
        <v>199</v>
      </c>
      <c r="D103" s="36" t="s">
        <v>200</v>
      </c>
      <c r="E103" s="37">
        <v>0</v>
      </c>
      <c r="F103" s="37">
        <v>0</v>
      </c>
      <c r="G103" s="37">
        <f t="shared" si="2"/>
        <v>0</v>
      </c>
      <c r="H103" s="44" t="s">
        <v>201</v>
      </c>
      <c r="I103" s="45">
        <v>95000</v>
      </c>
      <c r="J103" s="37">
        <v>95000</v>
      </c>
      <c r="K103" s="41">
        <v>40483</v>
      </c>
      <c r="L103" s="41" t="s">
        <v>67</v>
      </c>
      <c r="M103" s="46" t="s">
        <v>26</v>
      </c>
      <c r="N103" s="42" t="s">
        <v>27</v>
      </c>
    </row>
    <row r="104" spans="1:14" s="4" customFormat="1" ht="49.5" customHeight="1">
      <c r="A104" s="35">
        <f t="shared" si="3"/>
        <v>102</v>
      </c>
      <c r="B104" s="36" t="s">
        <v>181</v>
      </c>
      <c r="C104" s="36" t="s">
        <v>199</v>
      </c>
      <c r="D104" s="36" t="s">
        <v>202</v>
      </c>
      <c r="E104" s="37">
        <v>0</v>
      </c>
      <c r="F104" s="37">
        <v>0</v>
      </c>
      <c r="G104" s="37">
        <f t="shared" si="2"/>
        <v>0</v>
      </c>
      <c r="H104" s="44" t="s">
        <v>201</v>
      </c>
      <c r="I104" s="45">
        <v>30000</v>
      </c>
      <c r="J104" s="37">
        <v>30000</v>
      </c>
      <c r="K104" s="41">
        <v>40483</v>
      </c>
      <c r="L104" s="41" t="s">
        <v>67</v>
      </c>
      <c r="M104" s="46" t="s">
        <v>26</v>
      </c>
      <c r="N104" s="42" t="s">
        <v>27</v>
      </c>
    </row>
    <row r="105" spans="1:14" s="4" customFormat="1" ht="49.5" customHeight="1">
      <c r="A105" s="35">
        <f t="shared" si="3"/>
        <v>103</v>
      </c>
      <c r="B105" s="36" t="s">
        <v>181</v>
      </c>
      <c r="C105" s="36" t="s">
        <v>199</v>
      </c>
      <c r="D105" s="36" t="s">
        <v>203</v>
      </c>
      <c r="E105" s="37">
        <v>1950</v>
      </c>
      <c r="F105" s="37">
        <v>0</v>
      </c>
      <c r="G105" s="37">
        <f t="shared" si="2"/>
        <v>1950</v>
      </c>
      <c r="H105" s="44" t="s">
        <v>201</v>
      </c>
      <c r="I105" s="45">
        <v>1950</v>
      </c>
      <c r="J105" s="37">
        <v>0</v>
      </c>
      <c r="K105" s="41">
        <v>40878</v>
      </c>
      <c r="L105" s="41" t="s">
        <v>67</v>
      </c>
      <c r="M105" s="46" t="s">
        <v>26</v>
      </c>
      <c r="N105" s="42" t="s">
        <v>27</v>
      </c>
    </row>
    <row r="106" spans="1:14" s="4" customFormat="1" ht="49.5" customHeight="1">
      <c r="A106" s="35">
        <f t="shared" si="3"/>
        <v>104</v>
      </c>
      <c r="B106" s="36" t="s">
        <v>181</v>
      </c>
      <c r="C106" s="36" t="s">
        <v>204</v>
      </c>
      <c r="D106" s="36" t="s">
        <v>205</v>
      </c>
      <c r="E106" s="37">
        <v>0</v>
      </c>
      <c r="F106" s="37">
        <v>0</v>
      </c>
      <c r="G106" s="37">
        <f t="shared" si="2"/>
        <v>0</v>
      </c>
      <c r="H106" s="44" t="s">
        <v>206</v>
      </c>
      <c r="I106" s="45">
        <v>266666.7</v>
      </c>
      <c r="J106" s="37">
        <v>26666.67</v>
      </c>
      <c r="K106" s="41">
        <v>40544</v>
      </c>
      <c r="L106" s="41" t="s">
        <v>67</v>
      </c>
      <c r="M106" s="46" t="s">
        <v>26</v>
      </c>
      <c r="N106" s="42" t="s">
        <v>27</v>
      </c>
    </row>
    <row r="107" spans="1:14" s="4" customFormat="1" ht="49.5" customHeight="1">
      <c r="A107" s="35">
        <f t="shared" si="3"/>
        <v>105</v>
      </c>
      <c r="B107" s="36" t="s">
        <v>181</v>
      </c>
      <c r="C107" s="36" t="s">
        <v>204</v>
      </c>
      <c r="D107" s="36" t="s">
        <v>207</v>
      </c>
      <c r="E107" s="37">
        <v>0</v>
      </c>
      <c r="F107" s="37">
        <v>0</v>
      </c>
      <c r="G107" s="37">
        <f t="shared" si="2"/>
        <v>0</v>
      </c>
      <c r="H107" s="44" t="s">
        <v>208</v>
      </c>
      <c r="I107" s="45">
        <v>200000</v>
      </c>
      <c r="J107" s="37">
        <v>20000</v>
      </c>
      <c r="K107" s="41">
        <v>40544</v>
      </c>
      <c r="L107" s="41" t="s">
        <v>67</v>
      </c>
      <c r="M107" s="46" t="s">
        <v>26</v>
      </c>
      <c r="N107" s="42" t="s">
        <v>27</v>
      </c>
    </row>
    <row r="108" spans="1:14" s="4" customFormat="1" ht="49.5" customHeight="1">
      <c r="A108" s="35">
        <f t="shared" si="3"/>
        <v>106</v>
      </c>
      <c r="B108" s="36" t="s">
        <v>181</v>
      </c>
      <c r="C108" s="36" t="s">
        <v>204</v>
      </c>
      <c r="D108" s="36" t="s">
        <v>209</v>
      </c>
      <c r="E108" s="37">
        <v>0</v>
      </c>
      <c r="F108" s="37">
        <v>0</v>
      </c>
      <c r="G108" s="37">
        <f t="shared" si="2"/>
        <v>0</v>
      </c>
      <c r="H108" s="44" t="s">
        <v>210</v>
      </c>
      <c r="I108" s="45">
        <v>400000</v>
      </c>
      <c r="J108" s="37">
        <v>40000</v>
      </c>
      <c r="K108" s="41">
        <v>40544</v>
      </c>
      <c r="L108" s="41" t="s">
        <v>67</v>
      </c>
      <c r="M108" s="46" t="s">
        <v>26</v>
      </c>
      <c r="N108" s="42" t="s">
        <v>27</v>
      </c>
    </row>
    <row r="109" spans="1:14" s="4" customFormat="1" ht="49.5" customHeight="1">
      <c r="A109" s="35">
        <f t="shared" si="3"/>
        <v>107</v>
      </c>
      <c r="B109" s="36" t="s">
        <v>181</v>
      </c>
      <c r="C109" s="36" t="s">
        <v>204</v>
      </c>
      <c r="D109" s="36" t="s">
        <v>211</v>
      </c>
      <c r="E109" s="37">
        <v>0</v>
      </c>
      <c r="F109" s="37">
        <v>0</v>
      </c>
      <c r="G109" s="37">
        <f t="shared" si="2"/>
        <v>0</v>
      </c>
      <c r="H109" s="44" t="s">
        <v>212</v>
      </c>
      <c r="I109" s="45">
        <v>200000</v>
      </c>
      <c r="J109" s="37">
        <v>20000</v>
      </c>
      <c r="K109" s="41">
        <v>40544</v>
      </c>
      <c r="L109" s="41" t="s">
        <v>67</v>
      </c>
      <c r="M109" s="46" t="s">
        <v>26</v>
      </c>
      <c r="N109" s="42" t="s">
        <v>27</v>
      </c>
    </row>
    <row r="110" spans="1:14" s="4" customFormat="1" ht="49.5" customHeight="1">
      <c r="A110" s="35">
        <f t="shared" si="3"/>
        <v>108</v>
      </c>
      <c r="B110" s="36" t="s">
        <v>181</v>
      </c>
      <c r="C110" s="36" t="s">
        <v>204</v>
      </c>
      <c r="D110" s="36" t="s">
        <v>213</v>
      </c>
      <c r="E110" s="37">
        <v>0</v>
      </c>
      <c r="F110" s="37">
        <v>0</v>
      </c>
      <c r="G110" s="37">
        <f t="shared" si="2"/>
        <v>0</v>
      </c>
      <c r="H110" s="44" t="s">
        <v>214</v>
      </c>
      <c r="I110" s="45">
        <v>200000</v>
      </c>
      <c r="J110" s="37">
        <v>20000</v>
      </c>
      <c r="K110" s="41">
        <v>40544</v>
      </c>
      <c r="L110" s="41" t="s">
        <v>67</v>
      </c>
      <c r="M110" s="46" t="s">
        <v>26</v>
      </c>
      <c r="N110" s="42" t="s">
        <v>27</v>
      </c>
    </row>
    <row r="111" spans="1:14" s="4" customFormat="1" ht="49.5" customHeight="1">
      <c r="A111" s="35">
        <f t="shared" si="3"/>
        <v>109</v>
      </c>
      <c r="B111" s="36" t="s">
        <v>181</v>
      </c>
      <c r="C111" s="36" t="s">
        <v>252</v>
      </c>
      <c r="D111" s="36" t="s">
        <v>253</v>
      </c>
      <c r="E111" s="37">
        <v>36000</v>
      </c>
      <c r="F111" s="37">
        <v>0</v>
      </c>
      <c r="G111" s="37">
        <f t="shared" si="2"/>
        <v>36000</v>
      </c>
      <c r="H111" s="44" t="s">
        <v>254</v>
      </c>
      <c r="I111" s="45">
        <v>180000</v>
      </c>
      <c r="J111" s="37">
        <v>0</v>
      </c>
      <c r="K111" s="41">
        <v>40909</v>
      </c>
      <c r="L111" s="41" t="s">
        <v>67</v>
      </c>
      <c r="M111" s="46" t="s">
        <v>26</v>
      </c>
      <c r="N111" s="42" t="s">
        <v>27</v>
      </c>
    </row>
    <row r="112" spans="1:14" s="4" customFormat="1" ht="49.5" customHeight="1">
      <c r="A112" s="35">
        <f t="shared" si="3"/>
        <v>110</v>
      </c>
      <c r="B112" s="36" t="s">
        <v>181</v>
      </c>
      <c r="C112" s="36" t="s">
        <v>286</v>
      </c>
      <c r="D112" s="36" t="s">
        <v>287</v>
      </c>
      <c r="E112" s="37">
        <v>14070</v>
      </c>
      <c r="F112" s="37">
        <v>0</v>
      </c>
      <c r="G112" s="37">
        <f t="shared" si="2"/>
        <v>14070</v>
      </c>
      <c r="H112" s="44" t="s">
        <v>288</v>
      </c>
      <c r="I112" s="45">
        <v>70350</v>
      </c>
      <c r="J112" s="37">
        <v>0</v>
      </c>
      <c r="K112" s="41">
        <v>41085</v>
      </c>
      <c r="L112" s="41">
        <v>41639</v>
      </c>
      <c r="M112" s="46" t="s">
        <v>26</v>
      </c>
      <c r="N112" s="42" t="s">
        <v>27</v>
      </c>
    </row>
    <row r="113" spans="1:14" s="4" customFormat="1" ht="49.5" customHeight="1">
      <c r="A113" s="35">
        <f t="shared" si="3"/>
        <v>111</v>
      </c>
      <c r="B113" s="36" t="s">
        <v>181</v>
      </c>
      <c r="C113" s="36" t="s">
        <v>286</v>
      </c>
      <c r="D113" s="36" t="s">
        <v>289</v>
      </c>
      <c r="E113" s="37">
        <v>25905</v>
      </c>
      <c r="F113" s="37">
        <v>0</v>
      </c>
      <c r="G113" s="37">
        <f t="shared" si="2"/>
        <v>25905</v>
      </c>
      <c r="H113" s="44" t="s">
        <v>290</v>
      </c>
      <c r="I113" s="45">
        <v>129525</v>
      </c>
      <c r="J113" s="37">
        <v>0</v>
      </c>
      <c r="K113" s="41">
        <v>41085</v>
      </c>
      <c r="L113" s="41">
        <v>41639</v>
      </c>
      <c r="M113" s="46" t="s">
        <v>26</v>
      </c>
      <c r="N113" s="42" t="s">
        <v>27</v>
      </c>
    </row>
    <row r="114" spans="1:14" s="4" customFormat="1" ht="49.5" customHeight="1" thickBot="1">
      <c r="A114" s="48">
        <f t="shared" si="3"/>
        <v>112</v>
      </c>
      <c r="B114" s="49" t="s">
        <v>181</v>
      </c>
      <c r="C114" s="49"/>
      <c r="D114" s="49" t="s">
        <v>356</v>
      </c>
      <c r="E114" s="50">
        <v>136910</v>
      </c>
      <c r="F114" s="50">
        <v>0</v>
      </c>
      <c r="G114" s="50">
        <f t="shared" si="2"/>
        <v>136910</v>
      </c>
      <c r="H114" s="51" t="s">
        <v>357</v>
      </c>
      <c r="I114" s="52">
        <v>136910</v>
      </c>
      <c r="J114" s="50">
        <v>0</v>
      </c>
      <c r="K114" s="54">
        <v>41244</v>
      </c>
      <c r="L114" s="54">
        <v>41639</v>
      </c>
      <c r="M114" s="55" t="s">
        <v>26</v>
      </c>
      <c r="N114" s="56" t="s">
        <v>27</v>
      </c>
    </row>
    <row r="115" spans="1:14" s="4" customFormat="1" ht="49.5" customHeight="1" thickBot="1" thickTop="1">
      <c r="A115" s="9"/>
      <c r="B115" s="10"/>
      <c r="C115" s="10"/>
      <c r="D115" s="71" t="s">
        <v>215</v>
      </c>
      <c r="E115" s="72">
        <f>SUM(E3:E114)</f>
        <v>19977821.66</v>
      </c>
      <c r="F115" s="72">
        <f>SUM(F3:F114)</f>
        <v>3689197.88</v>
      </c>
      <c r="G115" s="73">
        <f>SUM(G3:G114)</f>
        <v>23667019.540000003</v>
      </c>
      <c r="H115" s="10"/>
      <c r="I115" s="10"/>
      <c r="J115" s="10"/>
      <c r="K115" s="10"/>
      <c r="L115" s="11"/>
      <c r="M115" s="10"/>
      <c r="N115" s="12"/>
    </row>
    <row r="116" ht="13.5" thickTop="1"/>
    <row r="117" spans="1:14" s="15" customFormat="1" ht="12.75">
      <c r="A117" s="13"/>
      <c r="B117" s="14"/>
      <c r="C117" s="14"/>
      <c r="D117" s="25" t="s">
        <v>358</v>
      </c>
      <c r="E117" s="25"/>
      <c r="F117" s="25"/>
      <c r="G117" s="25"/>
      <c r="K117" s="14"/>
      <c r="L117" s="16"/>
      <c r="M117" s="14"/>
      <c r="N117" s="17"/>
    </row>
    <row r="118" spans="2:13" s="15" customFormat="1" ht="12.75">
      <c r="B118" s="22"/>
      <c r="C118" s="22"/>
      <c r="E118" s="22"/>
      <c r="F118" s="22"/>
      <c r="G118" s="22"/>
      <c r="K118" s="22"/>
      <c r="L118" s="22"/>
      <c r="M118" s="22"/>
    </row>
    <row r="119" spans="1:14" s="15" customFormat="1" ht="12.75">
      <c r="A119" s="20"/>
      <c r="B119" s="24" t="s">
        <v>221</v>
      </c>
      <c r="C119" s="24"/>
      <c r="E119" s="23" t="s">
        <v>222</v>
      </c>
      <c r="F119" s="23"/>
      <c r="G119" s="23"/>
      <c r="K119" s="23" t="s">
        <v>223</v>
      </c>
      <c r="L119" s="23"/>
      <c r="M119" s="23"/>
      <c r="N119" s="19"/>
    </row>
    <row r="120" spans="1:14" s="15" customFormat="1" ht="12.75">
      <c r="A120" s="21"/>
      <c r="B120" s="18" t="s">
        <v>224</v>
      </c>
      <c r="C120" s="18"/>
      <c r="E120" s="18" t="s">
        <v>225</v>
      </c>
      <c r="F120" s="18"/>
      <c r="G120" s="18"/>
      <c r="K120" s="18" t="s">
        <v>226</v>
      </c>
      <c r="L120" s="18"/>
      <c r="M120" s="18"/>
      <c r="N120" s="19"/>
    </row>
  </sheetData>
  <sheetProtection selectLockedCells="1" selectUnlockedCells="1"/>
  <mergeCells count="11">
    <mergeCell ref="B120:C120"/>
    <mergeCell ref="E120:G120"/>
    <mergeCell ref="K120:M120"/>
    <mergeCell ref="A1:N1"/>
    <mergeCell ref="D117:G117"/>
    <mergeCell ref="B118:C118"/>
    <mergeCell ref="E118:G118"/>
    <mergeCell ref="K118:M118"/>
    <mergeCell ref="B119:C119"/>
    <mergeCell ref="E119:G119"/>
    <mergeCell ref="K119:M119"/>
  </mergeCells>
  <printOptions horizontalCentered="1"/>
  <pageMargins left="0" right="0" top="0.5905511811023623" bottom="0.3937007874015748" header="0.1968503937007874" footer="0.1968503937007874"/>
  <pageSetup firstPageNumber="1" useFirstPageNumber="1" fitToHeight="8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53" max="13" man="1"/>
    <brk id="68" max="13" man="1"/>
    <brk id="9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zoomScalePageLayoutView="0" workbookViewId="0" topLeftCell="A76">
      <selection activeCell="F91" sqref="F9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f aca="true" t="shared" si="0" ref="G3:G66">E3+F3</f>
        <v>8415</v>
      </c>
      <c r="H3" s="64" t="s">
        <v>12</v>
      </c>
      <c r="I3" s="30">
        <f>12*8415</f>
        <v>100980</v>
      </c>
      <c r="J3" s="28">
        <f>25245+16830+8415+33660+8415</f>
        <v>92565</v>
      </c>
      <c r="K3" s="32">
        <v>40545</v>
      </c>
      <c r="L3" s="32">
        <v>40908</v>
      </c>
      <c r="M3" s="33" t="s">
        <v>13</v>
      </c>
      <c r="N3" s="65" t="s">
        <v>14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f t="shared" si="0"/>
        <v>7150</v>
      </c>
      <c r="H4" s="66" t="s">
        <v>16</v>
      </c>
      <c r="I4" s="39">
        <f>7150*12</f>
        <v>85800</v>
      </c>
      <c r="J4" s="37">
        <f>21450+14300+7150+28600+7150</f>
        <v>78650</v>
      </c>
      <c r="K4" s="41">
        <v>40545</v>
      </c>
      <c r="L4" s="41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17</v>
      </c>
      <c r="C5" s="36" t="s">
        <v>18</v>
      </c>
      <c r="D5" s="36" t="s">
        <v>19</v>
      </c>
      <c r="E5" s="37">
        <v>0</v>
      </c>
      <c r="F5" s="37">
        <v>0</v>
      </c>
      <c r="G5" s="37">
        <f t="shared" si="0"/>
        <v>0</v>
      </c>
      <c r="H5" s="66" t="s">
        <v>20</v>
      </c>
      <c r="I5" s="39">
        <v>2556407.93</v>
      </c>
      <c r="J5" s="39">
        <v>383461.19</v>
      </c>
      <c r="K5" s="41">
        <v>40142</v>
      </c>
      <c r="L5" s="41">
        <v>40872</v>
      </c>
      <c r="M5" s="38" t="s">
        <v>21</v>
      </c>
      <c r="N5" s="42" t="s">
        <v>22</v>
      </c>
    </row>
    <row r="6" spans="1:14" s="4" customFormat="1" ht="49.5" customHeight="1">
      <c r="A6" s="35">
        <f t="shared" si="1"/>
        <v>4</v>
      </c>
      <c r="B6" s="36" t="s">
        <v>17</v>
      </c>
      <c r="C6" s="36" t="s">
        <v>23</v>
      </c>
      <c r="D6" s="36" t="s">
        <v>24</v>
      </c>
      <c r="E6" s="37">
        <v>0</v>
      </c>
      <c r="F6" s="37">
        <v>0</v>
      </c>
      <c r="G6" s="37">
        <f t="shared" si="0"/>
        <v>0</v>
      </c>
      <c r="H6" s="66" t="s">
        <v>25</v>
      </c>
      <c r="I6" s="39">
        <v>2792271</v>
      </c>
      <c r="J6" s="37">
        <f>279227.1+279227.1+279227.1+279227.1+279227.1</f>
        <v>1396135.5</v>
      </c>
      <c r="K6" s="41">
        <v>39995</v>
      </c>
      <c r="L6" s="41">
        <v>41820</v>
      </c>
      <c r="M6" s="38" t="s">
        <v>26</v>
      </c>
      <c r="N6" s="42" t="s">
        <v>27</v>
      </c>
    </row>
    <row r="7" spans="1:14" s="4" customFormat="1" ht="49.5" customHeight="1">
      <c r="A7" s="35">
        <f t="shared" si="1"/>
        <v>5</v>
      </c>
      <c r="B7" s="36" t="s">
        <v>28</v>
      </c>
      <c r="C7" s="36" t="s">
        <v>29</v>
      </c>
      <c r="D7" s="36" t="s">
        <v>30</v>
      </c>
      <c r="E7" s="37">
        <v>0</v>
      </c>
      <c r="F7" s="37">
        <v>0</v>
      </c>
      <c r="G7" s="37">
        <f t="shared" si="0"/>
        <v>0</v>
      </c>
      <c r="H7" s="66" t="s">
        <v>31</v>
      </c>
      <c r="I7" s="39">
        <v>273666.94</v>
      </c>
      <c r="J7" s="39">
        <v>273666.94</v>
      </c>
      <c r="K7" s="41">
        <v>40178</v>
      </c>
      <c r="L7" s="41">
        <v>40542</v>
      </c>
      <c r="M7" s="38" t="s">
        <v>32</v>
      </c>
      <c r="N7" s="42" t="s">
        <v>27</v>
      </c>
    </row>
    <row r="8" spans="1:14" s="4" customFormat="1" ht="49.5" customHeight="1">
      <c r="A8" s="35">
        <f t="shared" si="1"/>
        <v>6</v>
      </c>
      <c r="B8" s="36" t="s">
        <v>28</v>
      </c>
      <c r="C8" s="36" t="s">
        <v>29</v>
      </c>
      <c r="D8" s="36" t="s">
        <v>33</v>
      </c>
      <c r="E8" s="37">
        <v>0</v>
      </c>
      <c r="F8" s="37">
        <v>0</v>
      </c>
      <c r="G8" s="37">
        <f t="shared" si="0"/>
        <v>0</v>
      </c>
      <c r="H8" s="66" t="s">
        <v>34</v>
      </c>
      <c r="I8" s="39">
        <v>1636649.08</v>
      </c>
      <c r="J8" s="39">
        <v>514958.82</v>
      </c>
      <c r="K8" s="41">
        <v>40176</v>
      </c>
      <c r="L8" s="41">
        <v>40722</v>
      </c>
      <c r="M8" s="38" t="s">
        <v>35</v>
      </c>
      <c r="N8" s="42" t="s">
        <v>27</v>
      </c>
    </row>
    <row r="9" spans="1:14" s="4" customFormat="1" ht="49.5" customHeight="1">
      <c r="A9" s="35">
        <f t="shared" si="1"/>
        <v>7</v>
      </c>
      <c r="B9" s="36" t="s">
        <v>28</v>
      </c>
      <c r="C9" s="36" t="s">
        <v>29</v>
      </c>
      <c r="D9" s="36" t="s">
        <v>36</v>
      </c>
      <c r="E9" s="37">
        <v>0</v>
      </c>
      <c r="F9" s="37">
        <v>0</v>
      </c>
      <c r="G9" s="37">
        <f t="shared" si="0"/>
        <v>0</v>
      </c>
      <c r="H9" s="67" t="s">
        <v>37</v>
      </c>
      <c r="I9" s="45">
        <v>1492263.04</v>
      </c>
      <c r="J9" s="45">
        <v>517381.16</v>
      </c>
      <c r="K9" s="41">
        <v>40176</v>
      </c>
      <c r="L9" s="41">
        <v>40905</v>
      </c>
      <c r="M9" s="38" t="s">
        <v>38</v>
      </c>
      <c r="N9" s="42" t="s">
        <v>27</v>
      </c>
    </row>
    <row r="10" spans="1:14" s="4" customFormat="1" ht="49.5" customHeight="1">
      <c r="A10" s="35">
        <f t="shared" si="1"/>
        <v>8</v>
      </c>
      <c r="B10" s="36" t="s">
        <v>28</v>
      </c>
      <c r="C10" s="36" t="s">
        <v>29</v>
      </c>
      <c r="D10" s="36" t="s">
        <v>39</v>
      </c>
      <c r="E10" s="37">
        <v>147662.4</v>
      </c>
      <c r="F10" s="37">
        <v>0</v>
      </c>
      <c r="G10" s="37">
        <f t="shared" si="0"/>
        <v>147662.4</v>
      </c>
      <c r="H10" s="66" t="s">
        <v>40</v>
      </c>
      <c r="I10" s="39">
        <v>322420.94</v>
      </c>
      <c r="J10" s="39">
        <v>174758.54</v>
      </c>
      <c r="K10" s="41">
        <v>40176</v>
      </c>
      <c r="L10" s="46">
        <v>40540</v>
      </c>
      <c r="M10" s="38" t="s">
        <v>32</v>
      </c>
      <c r="N10" s="68" t="s">
        <v>27</v>
      </c>
    </row>
    <row r="11" spans="1:15" s="7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41</v>
      </c>
      <c r="E11" s="37">
        <v>0</v>
      </c>
      <c r="F11" s="37">
        <v>0</v>
      </c>
      <c r="G11" s="37">
        <f t="shared" si="0"/>
        <v>0</v>
      </c>
      <c r="H11" s="66" t="s">
        <v>42</v>
      </c>
      <c r="I11" s="39">
        <v>851408.61</v>
      </c>
      <c r="J11" s="39">
        <f>588308.41+263100.2</f>
        <v>851408.6100000001</v>
      </c>
      <c r="K11" s="41">
        <v>38890</v>
      </c>
      <c r="L11" s="41">
        <v>40056</v>
      </c>
      <c r="M11" s="44" t="s">
        <v>26</v>
      </c>
      <c r="N11" s="68" t="s">
        <v>27</v>
      </c>
      <c r="O11" s="4"/>
    </row>
    <row r="12" spans="1:15" s="7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43</v>
      </c>
      <c r="E12" s="37">
        <v>0</v>
      </c>
      <c r="F12" s="37">
        <v>0</v>
      </c>
      <c r="G12" s="37">
        <f t="shared" si="0"/>
        <v>0</v>
      </c>
      <c r="H12" s="66" t="s">
        <v>44</v>
      </c>
      <c r="I12" s="39">
        <v>352000</v>
      </c>
      <c r="J12" s="39">
        <v>211200</v>
      </c>
      <c r="K12" s="41">
        <v>39633</v>
      </c>
      <c r="L12" s="41">
        <v>39993</v>
      </c>
      <c r="M12" s="44" t="s">
        <v>35</v>
      </c>
      <c r="N12" s="68" t="s">
        <v>27</v>
      </c>
      <c r="O12" s="4"/>
    </row>
    <row r="13" spans="1:15" s="7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45</v>
      </c>
      <c r="E13" s="37">
        <v>0</v>
      </c>
      <c r="F13" s="37">
        <v>0</v>
      </c>
      <c r="G13" s="37">
        <f t="shared" si="0"/>
        <v>0</v>
      </c>
      <c r="H13" s="66" t="s">
        <v>46</v>
      </c>
      <c r="I13" s="39">
        <v>516646.91</v>
      </c>
      <c r="J13" s="39">
        <v>437114.41</v>
      </c>
      <c r="K13" s="41">
        <v>40536</v>
      </c>
      <c r="L13" s="41">
        <v>40900</v>
      </c>
      <c r="M13" s="44" t="s">
        <v>26</v>
      </c>
      <c r="N13" s="68" t="s">
        <v>27</v>
      </c>
      <c r="O13" s="4"/>
    </row>
    <row r="14" spans="1:15" s="7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47</v>
      </c>
      <c r="E14" s="37">
        <v>0</v>
      </c>
      <c r="F14" s="37">
        <v>0</v>
      </c>
      <c r="G14" s="37">
        <f t="shared" si="0"/>
        <v>0</v>
      </c>
      <c r="H14" s="66" t="s">
        <v>48</v>
      </c>
      <c r="I14" s="39">
        <v>100000</v>
      </c>
      <c r="J14" s="39">
        <v>100000</v>
      </c>
      <c r="K14" s="41">
        <v>40177</v>
      </c>
      <c r="L14" s="41">
        <v>40541</v>
      </c>
      <c r="M14" s="38" t="s">
        <v>32</v>
      </c>
      <c r="N14" s="68" t="s">
        <v>27</v>
      </c>
      <c r="O14" s="4"/>
    </row>
    <row r="15" spans="1:15" s="7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49</v>
      </c>
      <c r="E15" s="37">
        <v>0</v>
      </c>
      <c r="F15" s="37">
        <v>0</v>
      </c>
      <c r="G15" s="37">
        <f t="shared" si="0"/>
        <v>0</v>
      </c>
      <c r="H15" s="66" t="s">
        <v>50</v>
      </c>
      <c r="I15" s="39">
        <v>202569.34</v>
      </c>
      <c r="J15" s="39">
        <v>202569.343</v>
      </c>
      <c r="K15" s="41">
        <v>40542</v>
      </c>
      <c r="L15" s="41">
        <v>40907</v>
      </c>
      <c r="M15" s="38" t="s">
        <v>26</v>
      </c>
      <c r="N15" s="42" t="s">
        <v>27</v>
      </c>
      <c r="O15" s="4"/>
    </row>
    <row r="16" spans="1:15" s="7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51</v>
      </c>
      <c r="E16" s="37">
        <v>182038.38</v>
      </c>
      <c r="F16" s="37">
        <v>0</v>
      </c>
      <c r="G16" s="37">
        <f t="shared" si="0"/>
        <v>182038.38</v>
      </c>
      <c r="H16" s="66" t="s">
        <v>52</v>
      </c>
      <c r="I16" s="39">
        <v>3640767.5</v>
      </c>
      <c r="J16" s="39">
        <v>0</v>
      </c>
      <c r="K16" s="41">
        <v>40542</v>
      </c>
      <c r="L16" s="41">
        <v>42001</v>
      </c>
      <c r="M16" s="38" t="s">
        <v>35</v>
      </c>
      <c r="N16" s="42" t="s">
        <v>27</v>
      </c>
      <c r="O16" s="4"/>
    </row>
    <row r="17" spans="1:15" s="7" customFormat="1" ht="49.5" customHeight="1">
      <c r="A17" s="35">
        <f t="shared" si="1"/>
        <v>15</v>
      </c>
      <c r="B17" s="36" t="s">
        <v>53</v>
      </c>
      <c r="C17" s="36" t="s">
        <v>29</v>
      </c>
      <c r="D17" s="36" t="s">
        <v>54</v>
      </c>
      <c r="E17" s="37">
        <v>771437.88</v>
      </c>
      <c r="F17" s="37">
        <v>0</v>
      </c>
      <c r="G17" s="37">
        <f t="shared" si="0"/>
        <v>771437.88</v>
      </c>
      <c r="H17" s="66" t="s">
        <v>55</v>
      </c>
      <c r="I17" s="39">
        <v>771437.88</v>
      </c>
      <c r="J17" s="39">
        <v>0</v>
      </c>
      <c r="K17" s="41">
        <v>40886</v>
      </c>
      <c r="L17" s="41">
        <v>41617</v>
      </c>
      <c r="M17" s="38" t="s">
        <v>35</v>
      </c>
      <c r="N17" s="42" t="s">
        <v>27</v>
      </c>
      <c r="O17" s="4"/>
    </row>
    <row r="18" spans="1:15" s="7" customFormat="1" ht="49.5" customHeight="1">
      <c r="A18" s="35">
        <f t="shared" si="1"/>
        <v>16</v>
      </c>
      <c r="B18" s="36" t="s">
        <v>53</v>
      </c>
      <c r="C18" s="36" t="s">
        <v>29</v>
      </c>
      <c r="D18" s="36" t="s">
        <v>56</v>
      </c>
      <c r="E18" s="37">
        <v>90000</v>
      </c>
      <c r="F18" s="37">
        <v>0</v>
      </c>
      <c r="G18" s="37">
        <f t="shared" si="0"/>
        <v>90000</v>
      </c>
      <c r="H18" s="66" t="s">
        <v>57</v>
      </c>
      <c r="I18" s="39">
        <v>3944386.94</v>
      </c>
      <c r="J18" s="39">
        <v>0</v>
      </c>
      <c r="K18" s="41">
        <v>40904</v>
      </c>
      <c r="L18" s="41">
        <v>42000</v>
      </c>
      <c r="M18" s="38" t="s">
        <v>35</v>
      </c>
      <c r="N18" s="42" t="s">
        <v>27</v>
      </c>
      <c r="O18" s="4"/>
    </row>
    <row r="19" spans="1:15" s="7" customFormat="1" ht="49.5" customHeight="1">
      <c r="A19" s="35">
        <f t="shared" si="1"/>
        <v>17</v>
      </c>
      <c r="B19" s="36" t="s">
        <v>28</v>
      </c>
      <c r="C19" s="36" t="s">
        <v>58</v>
      </c>
      <c r="D19" s="36" t="s">
        <v>59</v>
      </c>
      <c r="E19" s="37">
        <v>0</v>
      </c>
      <c r="F19" s="37">
        <v>0</v>
      </c>
      <c r="G19" s="37">
        <f t="shared" si="0"/>
        <v>0</v>
      </c>
      <c r="H19" s="66" t="s">
        <v>60</v>
      </c>
      <c r="I19" s="39">
        <v>250000</v>
      </c>
      <c r="J19" s="39">
        <v>250000</v>
      </c>
      <c r="K19" s="41">
        <v>40155</v>
      </c>
      <c r="L19" s="46">
        <v>40519</v>
      </c>
      <c r="M19" s="44" t="s">
        <v>26</v>
      </c>
      <c r="N19" s="68" t="s">
        <v>27</v>
      </c>
      <c r="O19" s="4"/>
    </row>
    <row r="20" spans="1:15" s="7" customFormat="1" ht="49.5" customHeight="1">
      <c r="A20" s="35">
        <f t="shared" si="1"/>
        <v>18</v>
      </c>
      <c r="B20" s="36" t="s">
        <v>28</v>
      </c>
      <c r="C20" s="36" t="s">
        <v>58</v>
      </c>
      <c r="D20" s="36" t="s">
        <v>61</v>
      </c>
      <c r="E20" s="37">
        <v>0</v>
      </c>
      <c r="F20" s="37">
        <v>0</v>
      </c>
      <c r="G20" s="37">
        <f t="shared" si="0"/>
        <v>0</v>
      </c>
      <c r="H20" s="67" t="s">
        <v>62</v>
      </c>
      <c r="I20" s="45">
        <v>700000</v>
      </c>
      <c r="J20" s="45">
        <v>486857</v>
      </c>
      <c r="K20" s="41">
        <v>40532</v>
      </c>
      <c r="L20" s="41">
        <v>40711</v>
      </c>
      <c r="M20" s="44" t="s">
        <v>26</v>
      </c>
      <c r="N20" s="68" t="s">
        <v>27</v>
      </c>
      <c r="O20" s="4"/>
    </row>
    <row r="21" spans="1:15" s="7" customFormat="1" ht="49.5" customHeight="1">
      <c r="A21" s="35">
        <f t="shared" si="1"/>
        <v>19</v>
      </c>
      <c r="B21" s="36" t="s">
        <v>63</v>
      </c>
      <c r="C21" s="36" t="s">
        <v>64</v>
      </c>
      <c r="D21" s="36" t="s">
        <v>65</v>
      </c>
      <c r="E21" s="37">
        <v>0</v>
      </c>
      <c r="F21" s="37">
        <v>0</v>
      </c>
      <c r="G21" s="37">
        <f t="shared" si="0"/>
        <v>0</v>
      </c>
      <c r="H21" s="66" t="s">
        <v>66</v>
      </c>
      <c r="I21" s="39">
        <v>47533.89</v>
      </c>
      <c r="J21" s="39">
        <v>47533.89</v>
      </c>
      <c r="K21" s="41">
        <v>39814</v>
      </c>
      <c r="L21" s="41" t="s">
        <v>67</v>
      </c>
      <c r="M21" s="38" t="s">
        <v>26</v>
      </c>
      <c r="N21" s="42" t="s">
        <v>68</v>
      </c>
      <c r="O21" s="4"/>
    </row>
    <row r="22" spans="1:15" s="7" customFormat="1" ht="49.5" customHeight="1">
      <c r="A22" s="35">
        <f t="shared" si="1"/>
        <v>20</v>
      </c>
      <c r="B22" s="36" t="s">
        <v>63</v>
      </c>
      <c r="C22" s="36" t="s">
        <v>64</v>
      </c>
      <c r="D22" s="36" t="s">
        <v>69</v>
      </c>
      <c r="E22" s="37">
        <v>0</v>
      </c>
      <c r="F22" s="37">
        <v>0</v>
      </c>
      <c r="G22" s="37">
        <f t="shared" si="0"/>
        <v>0</v>
      </c>
      <c r="H22" s="66" t="s">
        <v>66</v>
      </c>
      <c r="I22" s="39">
        <f>2880+6720</f>
        <v>9600</v>
      </c>
      <c r="J22" s="39">
        <f>7600+2000</f>
        <v>9600</v>
      </c>
      <c r="K22" s="41">
        <v>40303</v>
      </c>
      <c r="L22" s="41" t="s">
        <v>67</v>
      </c>
      <c r="M22" s="38" t="s">
        <v>26</v>
      </c>
      <c r="N22" s="42" t="s">
        <v>68</v>
      </c>
      <c r="O22" s="4"/>
    </row>
    <row r="23" spans="1:15" s="7" customFormat="1" ht="49.5" customHeight="1">
      <c r="A23" s="35">
        <f t="shared" si="1"/>
        <v>21</v>
      </c>
      <c r="B23" s="36" t="s">
        <v>63</v>
      </c>
      <c r="C23" s="36" t="s">
        <v>70</v>
      </c>
      <c r="D23" s="36" t="s">
        <v>71</v>
      </c>
      <c r="E23" s="37">
        <v>0</v>
      </c>
      <c r="F23" s="37">
        <v>0</v>
      </c>
      <c r="G23" s="37">
        <f t="shared" si="0"/>
        <v>0</v>
      </c>
      <c r="H23" s="66" t="s">
        <v>72</v>
      </c>
      <c r="I23" s="39">
        <v>70000</v>
      </c>
      <c r="J23" s="39">
        <v>70000</v>
      </c>
      <c r="K23" s="41">
        <v>40540</v>
      </c>
      <c r="L23" s="41">
        <v>40724</v>
      </c>
      <c r="M23" s="38" t="s">
        <v>26</v>
      </c>
      <c r="N23" s="42" t="s">
        <v>68</v>
      </c>
      <c r="O23" s="4"/>
    </row>
    <row r="24" spans="1:15" s="7" customFormat="1" ht="49.5" customHeight="1">
      <c r="A24" s="35">
        <f t="shared" si="1"/>
        <v>22</v>
      </c>
      <c r="B24" s="36" t="s">
        <v>63</v>
      </c>
      <c r="C24" s="36" t="s">
        <v>70</v>
      </c>
      <c r="D24" s="36" t="s">
        <v>73</v>
      </c>
      <c r="E24" s="37">
        <v>0</v>
      </c>
      <c r="F24" s="37">
        <v>0</v>
      </c>
      <c r="G24" s="37">
        <f t="shared" si="0"/>
        <v>0</v>
      </c>
      <c r="H24" s="66" t="s">
        <v>74</v>
      </c>
      <c r="I24" s="39">
        <v>60000</v>
      </c>
      <c r="J24" s="39">
        <v>60000</v>
      </c>
      <c r="K24" s="41">
        <v>40540</v>
      </c>
      <c r="L24" s="41">
        <v>40724</v>
      </c>
      <c r="M24" s="38" t="s">
        <v>26</v>
      </c>
      <c r="N24" s="42" t="s">
        <v>68</v>
      </c>
      <c r="O24" s="4"/>
    </row>
    <row r="25" spans="1:15" s="7" customFormat="1" ht="49.5" customHeight="1">
      <c r="A25" s="35">
        <f t="shared" si="1"/>
        <v>23</v>
      </c>
      <c r="B25" s="36" t="s">
        <v>63</v>
      </c>
      <c r="C25" s="36" t="s">
        <v>75</v>
      </c>
      <c r="D25" s="36" t="s">
        <v>76</v>
      </c>
      <c r="E25" s="37">
        <v>0</v>
      </c>
      <c r="F25" s="37">
        <v>0</v>
      </c>
      <c r="G25" s="37">
        <f t="shared" si="0"/>
        <v>0</v>
      </c>
      <c r="H25" s="66" t="s">
        <v>77</v>
      </c>
      <c r="I25" s="39">
        <v>630000</v>
      </c>
      <c r="J25" s="39">
        <v>630000</v>
      </c>
      <c r="K25" s="41">
        <v>40599</v>
      </c>
      <c r="L25" s="41">
        <v>40908</v>
      </c>
      <c r="M25" s="38" t="s">
        <v>26</v>
      </c>
      <c r="N25" s="42" t="s">
        <v>68</v>
      </c>
      <c r="O25" s="4"/>
    </row>
    <row r="26" spans="1:15" s="7" customFormat="1" ht="49.5" customHeight="1">
      <c r="A26" s="35">
        <f t="shared" si="1"/>
        <v>24</v>
      </c>
      <c r="B26" s="36" t="s">
        <v>63</v>
      </c>
      <c r="C26" s="36" t="s">
        <v>75</v>
      </c>
      <c r="D26" s="36" t="s">
        <v>78</v>
      </c>
      <c r="E26" s="37">
        <v>105000</v>
      </c>
      <c r="F26" s="37">
        <v>0</v>
      </c>
      <c r="G26" s="37">
        <f t="shared" si="0"/>
        <v>105000</v>
      </c>
      <c r="H26" s="66" t="s">
        <v>79</v>
      </c>
      <c r="I26" s="39">
        <v>630000</v>
      </c>
      <c r="J26" s="39">
        <v>525000</v>
      </c>
      <c r="K26" s="41">
        <v>40751</v>
      </c>
      <c r="L26" s="41">
        <v>40908</v>
      </c>
      <c r="M26" s="38" t="s">
        <v>26</v>
      </c>
      <c r="N26" s="42" t="s">
        <v>68</v>
      </c>
      <c r="O26" s="4"/>
    </row>
    <row r="27" spans="1:15" s="7" customFormat="1" ht="49.5" customHeight="1">
      <c r="A27" s="35">
        <f t="shared" si="1"/>
        <v>25</v>
      </c>
      <c r="B27" s="36" t="s">
        <v>80</v>
      </c>
      <c r="C27" s="36" t="s">
        <v>81</v>
      </c>
      <c r="D27" s="36" t="s">
        <v>82</v>
      </c>
      <c r="E27" s="37">
        <v>0</v>
      </c>
      <c r="F27" s="37">
        <v>0</v>
      </c>
      <c r="G27" s="37">
        <f t="shared" si="0"/>
        <v>0</v>
      </c>
      <c r="H27" s="66" t="s">
        <v>83</v>
      </c>
      <c r="I27" s="39">
        <v>126000</v>
      </c>
      <c r="J27" s="39">
        <f>66036+47363</f>
        <v>113399</v>
      </c>
      <c r="K27" s="41">
        <v>39071</v>
      </c>
      <c r="L27" s="41" t="s">
        <v>84</v>
      </c>
      <c r="M27" s="38" t="s">
        <v>26</v>
      </c>
      <c r="N27" s="42" t="s">
        <v>27</v>
      </c>
      <c r="O27" s="4"/>
    </row>
    <row r="28" spans="1:15" s="7" customFormat="1" ht="49.5" customHeight="1">
      <c r="A28" s="35">
        <f t="shared" si="1"/>
        <v>26</v>
      </c>
      <c r="B28" s="36" t="s">
        <v>85</v>
      </c>
      <c r="C28" s="36" t="s">
        <v>86</v>
      </c>
      <c r="D28" s="36" t="s">
        <v>87</v>
      </c>
      <c r="E28" s="37">
        <v>0</v>
      </c>
      <c r="F28" s="37">
        <v>0</v>
      </c>
      <c r="G28" s="37">
        <f t="shared" si="0"/>
        <v>0</v>
      </c>
      <c r="H28" s="67" t="s">
        <v>88</v>
      </c>
      <c r="I28" s="45">
        <v>85000</v>
      </c>
      <c r="J28" s="45">
        <v>0</v>
      </c>
      <c r="K28" s="41">
        <v>38611</v>
      </c>
      <c r="L28" s="41" t="s">
        <v>67</v>
      </c>
      <c r="M28" s="41" t="s">
        <v>26</v>
      </c>
      <c r="N28" s="68" t="s">
        <v>27</v>
      </c>
      <c r="O28" s="4"/>
    </row>
    <row r="29" spans="1:15" s="7" customFormat="1" ht="49.5" customHeight="1">
      <c r="A29" s="35">
        <f t="shared" si="1"/>
        <v>27</v>
      </c>
      <c r="B29" s="36" t="s">
        <v>89</v>
      </c>
      <c r="C29" s="36" t="s">
        <v>90</v>
      </c>
      <c r="D29" s="36" t="s">
        <v>91</v>
      </c>
      <c r="E29" s="39">
        <v>0</v>
      </c>
      <c r="F29" s="37">
        <v>0</v>
      </c>
      <c r="G29" s="37">
        <f t="shared" si="0"/>
        <v>0</v>
      </c>
      <c r="H29" s="67" t="s">
        <v>92</v>
      </c>
      <c r="I29" s="45">
        <v>292500</v>
      </c>
      <c r="J29" s="45">
        <v>292500</v>
      </c>
      <c r="K29" s="41">
        <v>40350</v>
      </c>
      <c r="L29" s="41">
        <v>40775</v>
      </c>
      <c r="M29" s="41" t="s">
        <v>26</v>
      </c>
      <c r="N29" s="68" t="s">
        <v>27</v>
      </c>
      <c r="O29" s="4"/>
    </row>
    <row r="30" spans="1:14" s="4" customFormat="1" ht="49.5" customHeight="1">
      <c r="A30" s="35">
        <f t="shared" si="1"/>
        <v>28</v>
      </c>
      <c r="B30" s="36" t="s">
        <v>93</v>
      </c>
      <c r="C30" s="36" t="s">
        <v>94</v>
      </c>
      <c r="D30" s="36" t="s">
        <v>95</v>
      </c>
      <c r="E30" s="37">
        <v>0</v>
      </c>
      <c r="F30" s="37">
        <v>0</v>
      </c>
      <c r="G30" s="37">
        <f t="shared" si="0"/>
        <v>0</v>
      </c>
      <c r="H30" s="66" t="s">
        <v>96</v>
      </c>
      <c r="I30" s="39">
        <v>1803960</v>
      </c>
      <c r="J30" s="39">
        <v>0</v>
      </c>
      <c r="K30" s="41">
        <v>40544</v>
      </c>
      <c r="L30" s="41">
        <v>40908</v>
      </c>
      <c r="M30" s="41" t="s">
        <v>26</v>
      </c>
      <c r="N30" s="68" t="s">
        <v>68</v>
      </c>
    </row>
    <row r="31" spans="1:14" s="4" customFormat="1" ht="49.5" customHeight="1">
      <c r="A31" s="35">
        <f t="shared" si="1"/>
        <v>29</v>
      </c>
      <c r="B31" s="36" t="s">
        <v>93</v>
      </c>
      <c r="C31" s="36" t="s">
        <v>97</v>
      </c>
      <c r="D31" s="36" t="s">
        <v>97</v>
      </c>
      <c r="E31" s="37">
        <v>0</v>
      </c>
      <c r="F31" s="37">
        <v>0</v>
      </c>
      <c r="G31" s="37">
        <f t="shared" si="0"/>
        <v>0</v>
      </c>
      <c r="H31" s="66" t="s">
        <v>98</v>
      </c>
      <c r="I31" s="39">
        <v>232427</v>
      </c>
      <c r="J31" s="39">
        <v>0</v>
      </c>
      <c r="K31" s="41">
        <v>40544</v>
      </c>
      <c r="L31" s="41">
        <v>40908</v>
      </c>
      <c r="M31" s="41" t="s">
        <v>26</v>
      </c>
      <c r="N31" s="68" t="s">
        <v>68</v>
      </c>
    </row>
    <row r="32" spans="1:14" s="4" customFormat="1" ht="49.5" customHeight="1">
      <c r="A32" s="35">
        <f t="shared" si="1"/>
        <v>30</v>
      </c>
      <c r="B32" s="36" t="s">
        <v>93</v>
      </c>
      <c r="C32" s="36" t="s">
        <v>99</v>
      </c>
      <c r="D32" s="36" t="s">
        <v>100</v>
      </c>
      <c r="E32" s="37">
        <v>0</v>
      </c>
      <c r="F32" s="37">
        <v>0</v>
      </c>
      <c r="G32" s="37">
        <f t="shared" si="0"/>
        <v>0</v>
      </c>
      <c r="H32" s="66" t="s">
        <v>101</v>
      </c>
      <c r="I32" s="39">
        <v>12756.3</v>
      </c>
      <c r="J32" s="39">
        <v>12756.3</v>
      </c>
      <c r="K32" s="41">
        <v>40544</v>
      </c>
      <c r="L32" s="41">
        <v>40908</v>
      </c>
      <c r="M32" s="44" t="s">
        <v>26</v>
      </c>
      <c r="N32" s="68" t="s">
        <v>68</v>
      </c>
    </row>
    <row r="33" spans="1:14" s="4" customFormat="1" ht="49.5" customHeight="1">
      <c r="A33" s="35">
        <f t="shared" si="1"/>
        <v>31</v>
      </c>
      <c r="B33" s="36" t="s">
        <v>93</v>
      </c>
      <c r="C33" s="36" t="s">
        <v>102</v>
      </c>
      <c r="D33" s="36" t="s">
        <v>103</v>
      </c>
      <c r="E33" s="37">
        <v>8077.13</v>
      </c>
      <c r="F33" s="37">
        <v>0</v>
      </c>
      <c r="G33" s="37">
        <f t="shared" si="0"/>
        <v>8077.13</v>
      </c>
      <c r="H33" s="66" t="s">
        <v>104</v>
      </c>
      <c r="I33" s="39">
        <v>10750</v>
      </c>
      <c r="J33" s="39">
        <v>0</v>
      </c>
      <c r="K33" s="41">
        <v>40070</v>
      </c>
      <c r="L33" s="41" t="s">
        <v>67</v>
      </c>
      <c r="M33" s="44" t="s">
        <v>26</v>
      </c>
      <c r="N33" s="68" t="s">
        <v>27</v>
      </c>
    </row>
    <row r="34" spans="1:14" s="4" customFormat="1" ht="49.5" customHeight="1">
      <c r="A34" s="35">
        <f t="shared" si="1"/>
        <v>32</v>
      </c>
      <c r="B34" s="36" t="s">
        <v>93</v>
      </c>
      <c r="C34" s="36" t="s">
        <v>105</v>
      </c>
      <c r="D34" s="36" t="s">
        <v>106</v>
      </c>
      <c r="E34" s="47">
        <v>0</v>
      </c>
      <c r="F34" s="37">
        <v>0</v>
      </c>
      <c r="G34" s="37">
        <f t="shared" si="0"/>
        <v>0</v>
      </c>
      <c r="H34" s="66" t="s">
        <v>107</v>
      </c>
      <c r="I34" s="39">
        <v>1276275.58</v>
      </c>
      <c r="J34" s="39">
        <v>255255.12</v>
      </c>
      <c r="K34" s="41">
        <v>40725</v>
      </c>
      <c r="L34" s="41">
        <v>41274</v>
      </c>
      <c r="M34" s="44" t="s">
        <v>26</v>
      </c>
      <c r="N34" s="68" t="s">
        <v>27</v>
      </c>
    </row>
    <row r="35" spans="1:14" s="4" customFormat="1" ht="49.5" customHeight="1">
      <c r="A35" s="35">
        <f t="shared" si="1"/>
        <v>33</v>
      </c>
      <c r="B35" s="36" t="s">
        <v>93</v>
      </c>
      <c r="C35" s="36" t="s">
        <v>105</v>
      </c>
      <c r="D35" s="36" t="s">
        <v>108</v>
      </c>
      <c r="E35" s="47">
        <v>0</v>
      </c>
      <c r="F35" s="37">
        <v>0</v>
      </c>
      <c r="G35" s="37">
        <f t="shared" si="0"/>
        <v>0</v>
      </c>
      <c r="H35" s="66" t="s">
        <v>109</v>
      </c>
      <c r="I35" s="39">
        <v>1316838.4</v>
      </c>
      <c r="J35" s="39">
        <v>263367.68</v>
      </c>
      <c r="K35" s="41">
        <v>40544</v>
      </c>
      <c r="L35" s="41">
        <v>41274</v>
      </c>
      <c r="M35" s="44" t="s">
        <v>26</v>
      </c>
      <c r="N35" s="68" t="s">
        <v>27</v>
      </c>
    </row>
    <row r="36" spans="1:14" s="4" customFormat="1" ht="49.5" customHeight="1">
      <c r="A36" s="35">
        <f t="shared" si="1"/>
        <v>34</v>
      </c>
      <c r="B36" s="36" t="s">
        <v>93</v>
      </c>
      <c r="C36" s="36" t="s">
        <v>228</v>
      </c>
      <c r="D36" s="36" t="s">
        <v>229</v>
      </c>
      <c r="E36" s="47">
        <v>96359.9</v>
      </c>
      <c r="F36" s="37">
        <v>0</v>
      </c>
      <c r="G36" s="37">
        <f t="shared" si="0"/>
        <v>96359.9</v>
      </c>
      <c r="H36" s="66" t="s">
        <v>230</v>
      </c>
      <c r="I36" s="39">
        <v>481799.52</v>
      </c>
      <c r="J36" s="39">
        <v>0</v>
      </c>
      <c r="K36" s="41">
        <v>40725</v>
      </c>
      <c r="L36" s="41">
        <v>41274</v>
      </c>
      <c r="M36" s="44" t="s">
        <v>26</v>
      </c>
      <c r="N36" s="68" t="s">
        <v>27</v>
      </c>
    </row>
    <row r="37" spans="1:14" s="4" customFormat="1" ht="49.5" customHeight="1">
      <c r="A37" s="35">
        <f t="shared" si="1"/>
        <v>35</v>
      </c>
      <c r="B37" s="36" t="s">
        <v>93</v>
      </c>
      <c r="C37" s="36" t="s">
        <v>110</v>
      </c>
      <c r="D37" s="36" t="s">
        <v>111</v>
      </c>
      <c r="E37" s="47">
        <v>214740</v>
      </c>
      <c r="F37" s="37">
        <v>0</v>
      </c>
      <c r="G37" s="37">
        <f t="shared" si="0"/>
        <v>214740</v>
      </c>
      <c r="H37" s="66" t="s">
        <v>112</v>
      </c>
      <c r="I37" s="39">
        <v>644220</v>
      </c>
      <c r="J37" s="39">
        <v>0</v>
      </c>
      <c r="K37" s="41">
        <v>40909</v>
      </c>
      <c r="L37" s="41">
        <v>41639</v>
      </c>
      <c r="M37" s="44" t="s">
        <v>113</v>
      </c>
      <c r="N37" s="68" t="s">
        <v>27</v>
      </c>
    </row>
    <row r="38" spans="1:14" s="4" customFormat="1" ht="49.5" customHeight="1">
      <c r="A38" s="35">
        <f t="shared" si="1"/>
        <v>36</v>
      </c>
      <c r="B38" s="36" t="s">
        <v>114</v>
      </c>
      <c r="C38" s="36" t="s">
        <v>115</v>
      </c>
      <c r="D38" s="36" t="s">
        <v>116</v>
      </c>
      <c r="E38" s="37">
        <v>0</v>
      </c>
      <c r="F38" s="37">
        <v>0</v>
      </c>
      <c r="G38" s="37">
        <f t="shared" si="0"/>
        <v>0</v>
      </c>
      <c r="H38" s="66" t="s">
        <v>117</v>
      </c>
      <c r="I38" s="39">
        <v>120000</v>
      </c>
      <c r="J38" s="39">
        <v>120000</v>
      </c>
      <c r="K38" s="41">
        <v>39626</v>
      </c>
      <c r="L38" s="41">
        <v>40629</v>
      </c>
      <c r="M38" s="41" t="s">
        <v>26</v>
      </c>
      <c r="N38" s="68" t="s">
        <v>27</v>
      </c>
    </row>
    <row r="39" spans="1:14" s="4" customFormat="1" ht="49.5" customHeight="1">
      <c r="A39" s="35">
        <f t="shared" si="1"/>
        <v>37</v>
      </c>
      <c r="B39" s="36" t="s">
        <v>118</v>
      </c>
      <c r="C39" s="36" t="s">
        <v>10</v>
      </c>
      <c r="D39" s="36" t="s">
        <v>119</v>
      </c>
      <c r="E39" s="37">
        <v>27319.22</v>
      </c>
      <c r="F39" s="37">
        <v>0</v>
      </c>
      <c r="G39" s="37">
        <f t="shared" si="0"/>
        <v>27319.22</v>
      </c>
      <c r="H39" s="66" t="s">
        <v>120</v>
      </c>
      <c r="I39" s="39">
        <v>50000</v>
      </c>
      <c r="J39" s="39">
        <v>27218.1</v>
      </c>
      <c r="K39" s="41">
        <v>40179</v>
      </c>
      <c r="L39" s="41" t="s">
        <v>67</v>
      </c>
      <c r="M39" s="44" t="s">
        <v>121</v>
      </c>
      <c r="N39" s="68" t="s">
        <v>27</v>
      </c>
    </row>
    <row r="40" spans="1:14" s="4" customFormat="1" ht="49.5" customHeight="1">
      <c r="A40" s="35">
        <f t="shared" si="1"/>
        <v>38</v>
      </c>
      <c r="B40" s="36" t="s">
        <v>118</v>
      </c>
      <c r="C40" s="36" t="s">
        <v>10</v>
      </c>
      <c r="D40" s="36" t="s">
        <v>122</v>
      </c>
      <c r="E40" s="37">
        <v>0</v>
      </c>
      <c r="F40" s="37">
        <v>0</v>
      </c>
      <c r="G40" s="37">
        <f t="shared" si="0"/>
        <v>0</v>
      </c>
      <c r="H40" s="66" t="s">
        <v>123</v>
      </c>
      <c r="I40" s="39">
        <v>2950</v>
      </c>
      <c r="J40" s="39">
        <v>2950</v>
      </c>
      <c r="K40" s="41">
        <v>40118</v>
      </c>
      <c r="L40" s="41" t="s">
        <v>67</v>
      </c>
      <c r="M40" s="44" t="s">
        <v>26</v>
      </c>
      <c r="N40" s="68" t="s">
        <v>27</v>
      </c>
    </row>
    <row r="41" spans="1:14" s="4" customFormat="1" ht="49.5" customHeight="1">
      <c r="A41" s="35">
        <f t="shared" si="1"/>
        <v>39</v>
      </c>
      <c r="B41" s="36" t="s">
        <v>118</v>
      </c>
      <c r="C41" s="36" t="s">
        <v>10</v>
      </c>
      <c r="D41" s="36" t="s">
        <v>124</v>
      </c>
      <c r="E41" s="37">
        <v>0</v>
      </c>
      <c r="F41" s="37">
        <v>0</v>
      </c>
      <c r="G41" s="37">
        <f t="shared" si="0"/>
        <v>0</v>
      </c>
      <c r="H41" s="66" t="s">
        <v>123</v>
      </c>
      <c r="I41" s="39">
        <v>900</v>
      </c>
      <c r="J41" s="39">
        <v>925</v>
      </c>
      <c r="K41" s="41">
        <v>40179</v>
      </c>
      <c r="L41" s="41" t="s">
        <v>67</v>
      </c>
      <c r="M41" s="44" t="s">
        <v>26</v>
      </c>
      <c r="N41" s="68" t="s">
        <v>27</v>
      </c>
    </row>
    <row r="42" spans="1:14" s="4" customFormat="1" ht="49.5" customHeight="1">
      <c r="A42" s="35">
        <f t="shared" si="1"/>
        <v>40</v>
      </c>
      <c r="B42" s="36" t="s">
        <v>118</v>
      </c>
      <c r="C42" s="36" t="s">
        <v>10</v>
      </c>
      <c r="D42" s="36" t="s">
        <v>125</v>
      </c>
      <c r="E42" s="37">
        <v>9000</v>
      </c>
      <c r="F42" s="37">
        <v>0</v>
      </c>
      <c r="G42" s="37">
        <f t="shared" si="0"/>
        <v>9000</v>
      </c>
      <c r="H42" s="66" t="s">
        <v>126</v>
      </c>
      <c r="I42" s="39">
        <v>108000</v>
      </c>
      <c r="J42" s="39">
        <v>99000</v>
      </c>
      <c r="K42" s="41">
        <v>40544</v>
      </c>
      <c r="L42" s="41" t="s">
        <v>67</v>
      </c>
      <c r="M42" s="44" t="s">
        <v>26</v>
      </c>
      <c r="N42" s="68" t="s">
        <v>27</v>
      </c>
    </row>
    <row r="43" spans="1:14" s="4" customFormat="1" ht="49.5" customHeight="1">
      <c r="A43" s="35">
        <f t="shared" si="1"/>
        <v>41</v>
      </c>
      <c r="B43" s="36" t="s">
        <v>118</v>
      </c>
      <c r="C43" s="36" t="s">
        <v>10</v>
      </c>
      <c r="D43" s="36" t="s">
        <v>127</v>
      </c>
      <c r="E43" s="37">
        <v>0</v>
      </c>
      <c r="F43" s="37">
        <v>0</v>
      </c>
      <c r="G43" s="37">
        <f t="shared" si="0"/>
        <v>0</v>
      </c>
      <c r="H43" s="66" t="s">
        <v>128</v>
      </c>
      <c r="I43" s="39">
        <v>6000</v>
      </c>
      <c r="J43" s="39">
        <v>6000</v>
      </c>
      <c r="K43" s="41">
        <v>39814</v>
      </c>
      <c r="L43" s="41" t="s">
        <v>67</v>
      </c>
      <c r="M43" s="44" t="s">
        <v>26</v>
      </c>
      <c r="N43" s="68" t="s">
        <v>27</v>
      </c>
    </row>
    <row r="44" spans="1:14" s="4" customFormat="1" ht="49.5" customHeight="1">
      <c r="A44" s="35">
        <f t="shared" si="1"/>
        <v>42</v>
      </c>
      <c r="B44" s="36" t="s">
        <v>118</v>
      </c>
      <c r="C44" s="36" t="s">
        <v>10</v>
      </c>
      <c r="D44" s="36" t="s">
        <v>231</v>
      </c>
      <c r="E44" s="37">
        <v>8793</v>
      </c>
      <c r="F44" s="37">
        <v>0</v>
      </c>
      <c r="G44" s="37">
        <f t="shared" si="0"/>
        <v>8793</v>
      </c>
      <c r="H44" s="66" t="s">
        <v>130</v>
      </c>
      <c r="I44" s="39">
        <v>60300</v>
      </c>
      <c r="J44" s="39">
        <v>50561.25</v>
      </c>
      <c r="K44" s="41" t="s">
        <v>131</v>
      </c>
      <c r="L44" s="41" t="s">
        <v>67</v>
      </c>
      <c r="M44" s="44" t="s">
        <v>26</v>
      </c>
      <c r="N44" s="68" t="s">
        <v>27</v>
      </c>
    </row>
    <row r="45" spans="1:14" s="4" customFormat="1" ht="49.5" customHeight="1">
      <c r="A45" s="35">
        <f t="shared" si="1"/>
        <v>43</v>
      </c>
      <c r="B45" s="36" t="s">
        <v>118</v>
      </c>
      <c r="C45" s="36" t="s">
        <v>10</v>
      </c>
      <c r="D45" s="36" t="s">
        <v>232</v>
      </c>
      <c r="E45" s="37">
        <f>1000+1000</f>
        <v>2000</v>
      </c>
      <c r="F45" s="37">
        <v>0</v>
      </c>
      <c r="G45" s="37">
        <f t="shared" si="0"/>
        <v>2000</v>
      </c>
      <c r="H45" s="66" t="s">
        <v>133</v>
      </c>
      <c r="I45" s="39">
        <v>12000</v>
      </c>
      <c r="J45" s="39">
        <v>0</v>
      </c>
      <c r="K45" s="41">
        <v>40544</v>
      </c>
      <c r="L45" s="41" t="s">
        <v>67</v>
      </c>
      <c r="M45" s="44" t="s">
        <v>26</v>
      </c>
      <c r="N45" s="68" t="s">
        <v>27</v>
      </c>
    </row>
    <row r="46" spans="1:14" s="4" customFormat="1" ht="49.5" customHeight="1">
      <c r="A46" s="35">
        <f t="shared" si="1"/>
        <v>44</v>
      </c>
      <c r="B46" s="36" t="s">
        <v>118</v>
      </c>
      <c r="C46" s="36" t="s">
        <v>15</v>
      </c>
      <c r="D46" s="36" t="s">
        <v>134</v>
      </c>
      <c r="E46" s="37">
        <v>9000</v>
      </c>
      <c r="F46" s="37">
        <v>0</v>
      </c>
      <c r="G46" s="37">
        <f t="shared" si="0"/>
        <v>9000</v>
      </c>
      <c r="H46" s="66" t="s">
        <v>135</v>
      </c>
      <c r="I46" s="39">
        <v>108000</v>
      </c>
      <c r="J46" s="39">
        <v>0</v>
      </c>
      <c r="K46" s="41">
        <v>40909</v>
      </c>
      <c r="L46" s="41" t="s">
        <v>67</v>
      </c>
      <c r="M46" s="44" t="s">
        <v>26</v>
      </c>
      <c r="N46" s="68" t="s">
        <v>27</v>
      </c>
    </row>
    <row r="47" spans="1:14" s="4" customFormat="1" ht="49.5" customHeight="1">
      <c r="A47" s="35">
        <f t="shared" si="1"/>
        <v>45</v>
      </c>
      <c r="B47" s="36" t="s">
        <v>118</v>
      </c>
      <c r="C47" s="36" t="s">
        <v>15</v>
      </c>
      <c r="D47" s="36" t="s">
        <v>136</v>
      </c>
      <c r="E47" s="37">
        <v>10300</v>
      </c>
      <c r="F47" s="37">
        <v>0</v>
      </c>
      <c r="G47" s="37">
        <f t="shared" si="0"/>
        <v>10300</v>
      </c>
      <c r="H47" s="66" t="s">
        <v>137</v>
      </c>
      <c r="I47" s="39">
        <f>10300*12</f>
        <v>123600</v>
      </c>
      <c r="J47" s="39">
        <v>113300</v>
      </c>
      <c r="K47" s="41">
        <v>40544</v>
      </c>
      <c r="L47" s="41" t="s">
        <v>67</v>
      </c>
      <c r="M47" s="44" t="s">
        <v>26</v>
      </c>
      <c r="N47" s="68" t="s">
        <v>27</v>
      </c>
    </row>
    <row r="48" spans="1:14" s="4" customFormat="1" ht="49.5" customHeight="1">
      <c r="A48" s="35">
        <f t="shared" si="1"/>
        <v>46</v>
      </c>
      <c r="B48" s="36" t="s">
        <v>118</v>
      </c>
      <c r="C48" s="36" t="s">
        <v>15</v>
      </c>
      <c r="D48" s="36" t="s">
        <v>138</v>
      </c>
      <c r="E48" s="37">
        <v>2200</v>
      </c>
      <c r="F48" s="37">
        <v>0</v>
      </c>
      <c r="G48" s="37">
        <f t="shared" si="0"/>
        <v>2200</v>
      </c>
      <c r="H48" s="66" t="s">
        <v>139</v>
      </c>
      <c r="I48" s="39">
        <v>26400</v>
      </c>
      <c r="J48" s="39">
        <f>11*2200</f>
        <v>24200</v>
      </c>
      <c r="K48" s="41">
        <v>40544</v>
      </c>
      <c r="L48" s="41" t="s">
        <v>67</v>
      </c>
      <c r="M48" s="44" t="s">
        <v>26</v>
      </c>
      <c r="N48" s="68" t="s">
        <v>27</v>
      </c>
    </row>
    <row r="49" spans="1:14" s="4" customFormat="1" ht="49.5" customHeight="1">
      <c r="A49" s="35">
        <f t="shared" si="1"/>
        <v>47</v>
      </c>
      <c r="B49" s="36" t="s">
        <v>118</v>
      </c>
      <c r="C49" s="36" t="s">
        <v>15</v>
      </c>
      <c r="D49" s="36" t="s">
        <v>233</v>
      </c>
      <c r="E49" s="37">
        <f>2835+2835</f>
        <v>5670</v>
      </c>
      <c r="F49" s="37">
        <v>0</v>
      </c>
      <c r="G49" s="37">
        <f t="shared" si="0"/>
        <v>5670</v>
      </c>
      <c r="H49" s="66" t="s">
        <v>141</v>
      </c>
      <c r="I49" s="39">
        <v>34020</v>
      </c>
      <c r="J49" s="39">
        <v>0</v>
      </c>
      <c r="K49" s="41">
        <v>40544</v>
      </c>
      <c r="L49" s="41" t="s">
        <v>67</v>
      </c>
      <c r="M49" s="44" t="s">
        <v>26</v>
      </c>
      <c r="N49" s="68" t="s">
        <v>27</v>
      </c>
    </row>
    <row r="50" spans="1:14" s="4" customFormat="1" ht="49.5" customHeight="1">
      <c r="A50" s="35">
        <f t="shared" si="1"/>
        <v>48</v>
      </c>
      <c r="B50" s="36" t="s">
        <v>118</v>
      </c>
      <c r="C50" s="36" t="s">
        <v>15</v>
      </c>
      <c r="D50" s="36" t="s">
        <v>234</v>
      </c>
      <c r="E50" s="37">
        <v>0</v>
      </c>
      <c r="F50" s="37">
        <v>0</v>
      </c>
      <c r="G50" s="37">
        <f t="shared" si="0"/>
        <v>0</v>
      </c>
      <c r="H50" s="66" t="s">
        <v>143</v>
      </c>
      <c r="I50" s="39">
        <v>12000</v>
      </c>
      <c r="J50" s="39">
        <v>1000</v>
      </c>
      <c r="K50" s="41">
        <v>40544</v>
      </c>
      <c r="L50" s="41" t="s">
        <v>67</v>
      </c>
      <c r="M50" s="44" t="s">
        <v>26</v>
      </c>
      <c r="N50" s="68" t="s">
        <v>27</v>
      </c>
    </row>
    <row r="51" spans="1:14" s="4" customFormat="1" ht="49.5" customHeight="1">
      <c r="A51" s="35">
        <f t="shared" si="1"/>
        <v>49</v>
      </c>
      <c r="B51" s="36" t="s">
        <v>118</v>
      </c>
      <c r="C51" s="36" t="s">
        <v>10</v>
      </c>
      <c r="D51" s="36" t="s">
        <v>235</v>
      </c>
      <c r="E51" s="37">
        <f>1903.88+1113.57</f>
        <v>3017.45</v>
      </c>
      <c r="F51" s="37">
        <v>0</v>
      </c>
      <c r="G51" s="37">
        <f t="shared" si="0"/>
        <v>3017.45</v>
      </c>
      <c r="H51" s="66" t="s">
        <v>145</v>
      </c>
      <c r="I51" s="39">
        <v>11450</v>
      </c>
      <c r="J51" s="39">
        <v>0</v>
      </c>
      <c r="K51" s="41">
        <v>40544</v>
      </c>
      <c r="L51" s="41" t="s">
        <v>67</v>
      </c>
      <c r="M51" s="44" t="s">
        <v>26</v>
      </c>
      <c r="N51" s="68" t="s">
        <v>27</v>
      </c>
    </row>
    <row r="52" spans="1:14" s="4" customFormat="1" ht="49.5" customHeight="1">
      <c r="A52" s="35">
        <f t="shared" si="1"/>
        <v>50</v>
      </c>
      <c r="B52" s="36" t="s">
        <v>118</v>
      </c>
      <c r="C52" s="36" t="s">
        <v>146</v>
      </c>
      <c r="D52" s="36" t="s">
        <v>147</v>
      </c>
      <c r="E52" s="37">
        <v>0</v>
      </c>
      <c r="F52" s="37">
        <v>0</v>
      </c>
      <c r="G52" s="37">
        <f t="shared" si="0"/>
        <v>0</v>
      </c>
      <c r="H52" s="66" t="s">
        <v>148</v>
      </c>
      <c r="I52" s="39">
        <v>480000</v>
      </c>
      <c r="J52" s="39">
        <v>480000</v>
      </c>
      <c r="K52" s="41">
        <v>40141</v>
      </c>
      <c r="L52" s="41">
        <v>41049</v>
      </c>
      <c r="M52" s="44" t="s">
        <v>26</v>
      </c>
      <c r="N52" s="68" t="s">
        <v>27</v>
      </c>
    </row>
    <row r="53" spans="1:14" s="4" customFormat="1" ht="49.5" customHeight="1">
      <c r="A53" s="35">
        <f t="shared" si="1"/>
        <v>51</v>
      </c>
      <c r="B53" s="36" t="s">
        <v>149</v>
      </c>
      <c r="C53" s="36" t="s">
        <v>150</v>
      </c>
      <c r="D53" s="36" t="s">
        <v>151</v>
      </c>
      <c r="E53" s="37">
        <v>0</v>
      </c>
      <c r="F53" s="37">
        <v>0</v>
      </c>
      <c r="G53" s="37">
        <f t="shared" si="0"/>
        <v>0</v>
      </c>
      <c r="H53" s="66" t="s">
        <v>152</v>
      </c>
      <c r="I53" s="39">
        <v>1800000</v>
      </c>
      <c r="J53" s="39">
        <v>1080000</v>
      </c>
      <c r="K53" s="41">
        <v>40638</v>
      </c>
      <c r="L53" s="41">
        <v>41002</v>
      </c>
      <c r="M53" s="44" t="s">
        <v>26</v>
      </c>
      <c r="N53" s="68" t="s">
        <v>68</v>
      </c>
    </row>
    <row r="54" spans="1:14" s="4" customFormat="1" ht="49.5" customHeight="1">
      <c r="A54" s="35">
        <f t="shared" si="1"/>
        <v>52</v>
      </c>
      <c r="B54" s="36" t="s">
        <v>153</v>
      </c>
      <c r="C54" s="36" t="s">
        <v>154</v>
      </c>
      <c r="D54" s="36" t="s">
        <v>155</v>
      </c>
      <c r="E54" s="37">
        <v>0</v>
      </c>
      <c r="F54" s="37">
        <v>0</v>
      </c>
      <c r="G54" s="37">
        <f t="shared" si="0"/>
        <v>0</v>
      </c>
      <c r="H54" s="66" t="s">
        <v>156</v>
      </c>
      <c r="I54" s="39">
        <v>5860725</v>
      </c>
      <c r="J54" s="39">
        <v>5860725</v>
      </c>
      <c r="K54" s="41">
        <v>38884</v>
      </c>
      <c r="L54" s="41">
        <v>40451</v>
      </c>
      <c r="M54" s="44" t="s">
        <v>26</v>
      </c>
      <c r="N54" s="68" t="s">
        <v>27</v>
      </c>
    </row>
    <row r="55" spans="1:14" s="4" customFormat="1" ht="49.5" customHeight="1">
      <c r="A55" s="35">
        <f t="shared" si="1"/>
        <v>53</v>
      </c>
      <c r="B55" s="36" t="s">
        <v>153</v>
      </c>
      <c r="C55" s="36" t="s">
        <v>154</v>
      </c>
      <c r="D55" s="36" t="s">
        <v>157</v>
      </c>
      <c r="E55" s="37">
        <v>723449.59</v>
      </c>
      <c r="F55" s="37">
        <v>0</v>
      </c>
      <c r="G55" s="37">
        <f t="shared" si="0"/>
        <v>723449.59</v>
      </c>
      <c r="H55" s="66" t="s">
        <v>158</v>
      </c>
      <c r="I55" s="39">
        <v>4900000</v>
      </c>
      <c r="J55" s="39">
        <f>571422.36+2000142.18</f>
        <v>2571564.54</v>
      </c>
      <c r="K55" s="41">
        <v>39447</v>
      </c>
      <c r="L55" s="41">
        <v>40482</v>
      </c>
      <c r="M55" s="44" t="s">
        <v>159</v>
      </c>
      <c r="N55" s="68" t="s">
        <v>27</v>
      </c>
    </row>
    <row r="56" spans="1:14" s="4" customFormat="1" ht="49.5" customHeight="1">
      <c r="A56" s="35">
        <f t="shared" si="1"/>
        <v>54</v>
      </c>
      <c r="B56" s="36" t="s">
        <v>153</v>
      </c>
      <c r="C56" s="36" t="s">
        <v>154</v>
      </c>
      <c r="D56" s="36" t="s">
        <v>160</v>
      </c>
      <c r="E56" s="37">
        <v>0</v>
      </c>
      <c r="F56" s="37">
        <v>0</v>
      </c>
      <c r="G56" s="37">
        <f t="shared" si="0"/>
        <v>0</v>
      </c>
      <c r="H56" s="66" t="s">
        <v>161</v>
      </c>
      <c r="I56" s="39">
        <v>8195570</v>
      </c>
      <c r="J56" s="39">
        <f>827000+110901.25+287371.7</f>
        <v>1225272.95</v>
      </c>
      <c r="K56" s="41">
        <v>39447</v>
      </c>
      <c r="L56" s="41">
        <v>40471</v>
      </c>
      <c r="M56" s="44" t="s">
        <v>159</v>
      </c>
      <c r="N56" s="68" t="s">
        <v>27</v>
      </c>
    </row>
    <row r="57" spans="1:14" s="4" customFormat="1" ht="49.5" customHeight="1">
      <c r="A57" s="35">
        <f t="shared" si="1"/>
        <v>55</v>
      </c>
      <c r="B57" s="36" t="s">
        <v>153</v>
      </c>
      <c r="C57" s="36" t="s">
        <v>162</v>
      </c>
      <c r="D57" s="36" t="s">
        <v>163</v>
      </c>
      <c r="E57" s="37">
        <v>0</v>
      </c>
      <c r="F57" s="37">
        <v>0</v>
      </c>
      <c r="G57" s="37">
        <f t="shared" si="0"/>
        <v>0</v>
      </c>
      <c r="H57" s="66" t="s">
        <v>164</v>
      </c>
      <c r="I57" s="39">
        <v>394200</v>
      </c>
      <c r="J57" s="39">
        <v>394200</v>
      </c>
      <c r="K57" s="41">
        <v>40528</v>
      </c>
      <c r="L57" s="41">
        <v>41455</v>
      </c>
      <c r="M57" s="44" t="s">
        <v>26</v>
      </c>
      <c r="N57" s="68" t="s">
        <v>27</v>
      </c>
    </row>
    <row r="58" spans="1:14" s="4" customFormat="1" ht="49.5" customHeight="1">
      <c r="A58" s="35">
        <f t="shared" si="1"/>
        <v>56</v>
      </c>
      <c r="B58" s="36" t="s">
        <v>153</v>
      </c>
      <c r="C58" s="36" t="s">
        <v>162</v>
      </c>
      <c r="D58" s="36" t="s">
        <v>165</v>
      </c>
      <c r="E58" s="37">
        <v>0</v>
      </c>
      <c r="F58" s="37">
        <v>0</v>
      </c>
      <c r="G58" s="37">
        <f t="shared" si="0"/>
        <v>0</v>
      </c>
      <c r="H58" s="66" t="s">
        <v>166</v>
      </c>
      <c r="I58" s="39">
        <v>255740</v>
      </c>
      <c r="J58" s="39">
        <v>86491.27</v>
      </c>
      <c r="K58" s="41">
        <v>40528</v>
      </c>
      <c r="L58" s="41">
        <v>41455</v>
      </c>
      <c r="M58" s="44" t="s">
        <v>26</v>
      </c>
      <c r="N58" s="68" t="s">
        <v>27</v>
      </c>
    </row>
    <row r="59" spans="1:14" s="4" customFormat="1" ht="49.5" customHeight="1">
      <c r="A59" s="35">
        <f t="shared" si="1"/>
        <v>57</v>
      </c>
      <c r="B59" s="36" t="s">
        <v>153</v>
      </c>
      <c r="C59" s="36" t="s">
        <v>162</v>
      </c>
      <c r="D59" s="36" t="s">
        <v>167</v>
      </c>
      <c r="E59" s="37">
        <v>0</v>
      </c>
      <c r="F59" s="37">
        <v>0</v>
      </c>
      <c r="G59" s="37">
        <f t="shared" si="0"/>
        <v>0</v>
      </c>
      <c r="H59" s="66" t="s">
        <v>168</v>
      </c>
      <c r="I59" s="39">
        <v>295300</v>
      </c>
      <c r="J59" s="39">
        <v>103414.06</v>
      </c>
      <c r="K59" s="41">
        <v>40528</v>
      </c>
      <c r="L59" s="41">
        <v>41455</v>
      </c>
      <c r="M59" s="44" t="s">
        <v>26</v>
      </c>
      <c r="N59" s="68" t="s">
        <v>27</v>
      </c>
    </row>
    <row r="60" spans="1:14" s="4" customFormat="1" ht="49.5" customHeight="1">
      <c r="A60" s="35">
        <f t="shared" si="1"/>
        <v>58</v>
      </c>
      <c r="B60" s="36" t="s">
        <v>153</v>
      </c>
      <c r="C60" s="36" t="s">
        <v>162</v>
      </c>
      <c r="D60" s="36" t="s">
        <v>169</v>
      </c>
      <c r="E60" s="37">
        <v>0</v>
      </c>
      <c r="F60" s="37">
        <v>0</v>
      </c>
      <c r="G60" s="37">
        <f t="shared" si="0"/>
        <v>0</v>
      </c>
      <c r="H60" s="66" t="s">
        <v>170</v>
      </c>
      <c r="I60" s="39">
        <v>245850</v>
      </c>
      <c r="J60" s="39">
        <v>85383.7</v>
      </c>
      <c r="K60" s="41">
        <v>40528</v>
      </c>
      <c r="L60" s="41">
        <v>41455</v>
      </c>
      <c r="M60" s="44" t="s">
        <v>26</v>
      </c>
      <c r="N60" s="68" t="s">
        <v>27</v>
      </c>
    </row>
    <row r="61" spans="1:14" s="4" customFormat="1" ht="49.5" customHeight="1">
      <c r="A61" s="35">
        <f t="shared" si="1"/>
        <v>59</v>
      </c>
      <c r="B61" s="36" t="s">
        <v>171</v>
      </c>
      <c r="C61" s="36" t="s">
        <v>172</v>
      </c>
      <c r="D61" s="36" t="s">
        <v>173</v>
      </c>
      <c r="E61" s="37">
        <v>0</v>
      </c>
      <c r="F61" s="37">
        <v>0</v>
      </c>
      <c r="G61" s="37">
        <f t="shared" si="0"/>
        <v>0</v>
      </c>
      <c r="H61" s="66" t="s">
        <v>174</v>
      </c>
      <c r="I61" s="39">
        <v>97500</v>
      </c>
      <c r="J61" s="39">
        <v>48750</v>
      </c>
      <c r="K61" s="41">
        <v>40057</v>
      </c>
      <c r="L61" s="41">
        <v>40452</v>
      </c>
      <c r="M61" s="44" t="s">
        <v>26</v>
      </c>
      <c r="N61" s="68" t="s">
        <v>27</v>
      </c>
    </row>
    <row r="62" spans="1:14" s="4" customFormat="1" ht="49.5" customHeight="1">
      <c r="A62" s="35">
        <f t="shared" si="1"/>
        <v>60</v>
      </c>
      <c r="B62" s="36" t="s">
        <v>175</v>
      </c>
      <c r="C62" s="36" t="s">
        <v>176</v>
      </c>
      <c r="D62" s="36" t="s">
        <v>177</v>
      </c>
      <c r="E62" s="37">
        <v>0</v>
      </c>
      <c r="F62" s="37">
        <v>0</v>
      </c>
      <c r="G62" s="37">
        <f t="shared" si="0"/>
        <v>0</v>
      </c>
      <c r="H62" s="66" t="s">
        <v>178</v>
      </c>
      <c r="I62" s="39">
        <v>146250</v>
      </c>
      <c r="J62" s="39">
        <v>146250</v>
      </c>
      <c r="K62" s="41">
        <v>39812</v>
      </c>
      <c r="L62" s="41">
        <v>40663</v>
      </c>
      <c r="M62" s="44" t="s">
        <v>26</v>
      </c>
      <c r="N62" s="68" t="s">
        <v>27</v>
      </c>
    </row>
    <row r="63" spans="1:14" s="4" customFormat="1" ht="49.5" customHeight="1">
      <c r="A63" s="35">
        <f t="shared" si="1"/>
        <v>61</v>
      </c>
      <c r="B63" s="36" t="s">
        <v>175</v>
      </c>
      <c r="C63" s="36" t="s">
        <v>176</v>
      </c>
      <c r="D63" s="36" t="s">
        <v>179</v>
      </c>
      <c r="E63" s="37">
        <v>0</v>
      </c>
      <c r="F63" s="37">
        <v>0</v>
      </c>
      <c r="G63" s="37">
        <f t="shared" si="0"/>
        <v>0</v>
      </c>
      <c r="H63" s="66" t="s">
        <v>180</v>
      </c>
      <c r="I63" s="39">
        <v>254104.34</v>
      </c>
      <c r="J63" s="39">
        <v>254104.34</v>
      </c>
      <c r="K63" s="41">
        <v>40361</v>
      </c>
      <c r="L63" s="41">
        <v>40723</v>
      </c>
      <c r="M63" s="44" t="s">
        <v>26</v>
      </c>
      <c r="N63" s="68" t="s">
        <v>27</v>
      </c>
    </row>
    <row r="64" spans="1:14" s="4" customFormat="1" ht="49.5" customHeight="1">
      <c r="A64" s="35">
        <f t="shared" si="1"/>
        <v>62</v>
      </c>
      <c r="B64" s="36" t="s">
        <v>181</v>
      </c>
      <c r="C64" s="36" t="s">
        <v>182</v>
      </c>
      <c r="D64" s="36" t="s">
        <v>236</v>
      </c>
      <c r="E64" s="37">
        <v>0</v>
      </c>
      <c r="F64" s="37">
        <v>0</v>
      </c>
      <c r="G64" s="37">
        <f t="shared" si="0"/>
        <v>0</v>
      </c>
      <c r="H64" s="66" t="s">
        <v>184</v>
      </c>
      <c r="I64" s="39">
        <v>72000</v>
      </c>
      <c r="J64" s="39">
        <v>71997.99</v>
      </c>
      <c r="K64" s="41">
        <v>40544</v>
      </c>
      <c r="L64" s="41" t="s">
        <v>67</v>
      </c>
      <c r="M64" s="44" t="s">
        <v>26</v>
      </c>
      <c r="N64" s="68" t="s">
        <v>27</v>
      </c>
    </row>
    <row r="65" spans="1:14" s="4" customFormat="1" ht="49.5" customHeight="1">
      <c r="A65" s="35">
        <f t="shared" si="1"/>
        <v>63</v>
      </c>
      <c r="B65" s="36" t="s">
        <v>181</v>
      </c>
      <c r="C65" s="36" t="s">
        <v>185</v>
      </c>
      <c r="D65" s="36" t="s">
        <v>237</v>
      </c>
      <c r="E65" s="37">
        <v>0</v>
      </c>
      <c r="F65" s="37">
        <v>0</v>
      </c>
      <c r="G65" s="37">
        <f t="shared" si="0"/>
        <v>0</v>
      </c>
      <c r="H65" s="66" t="s">
        <v>187</v>
      </c>
      <c r="I65" s="39">
        <v>105000</v>
      </c>
      <c r="J65" s="39">
        <v>82954.57</v>
      </c>
      <c r="K65" s="41">
        <v>40544</v>
      </c>
      <c r="L65" s="41" t="s">
        <v>67</v>
      </c>
      <c r="M65" s="44" t="s">
        <v>26</v>
      </c>
      <c r="N65" s="68" t="s">
        <v>27</v>
      </c>
    </row>
    <row r="66" spans="1:14" s="4" customFormat="1" ht="49.5" customHeight="1">
      <c r="A66" s="35">
        <f t="shared" si="1"/>
        <v>64</v>
      </c>
      <c r="B66" s="36" t="s">
        <v>181</v>
      </c>
      <c r="C66" s="36" t="s">
        <v>188</v>
      </c>
      <c r="D66" s="36" t="s">
        <v>189</v>
      </c>
      <c r="E66" s="37">
        <v>500000</v>
      </c>
      <c r="F66" s="37">
        <v>0</v>
      </c>
      <c r="G66" s="37">
        <f t="shared" si="0"/>
        <v>500000</v>
      </c>
      <c r="H66" s="66" t="s">
        <v>190</v>
      </c>
      <c r="I66" s="39">
        <v>2000000</v>
      </c>
      <c r="J66" s="39">
        <f>200000+1300000</f>
        <v>1500000</v>
      </c>
      <c r="K66" s="41">
        <v>40057</v>
      </c>
      <c r="L66" s="41" t="s">
        <v>67</v>
      </c>
      <c r="M66" s="44" t="s">
        <v>26</v>
      </c>
      <c r="N66" s="68" t="s">
        <v>27</v>
      </c>
    </row>
    <row r="67" spans="1:14" s="4" customFormat="1" ht="49.5" customHeight="1">
      <c r="A67" s="35">
        <f t="shared" si="1"/>
        <v>65</v>
      </c>
      <c r="B67" s="36" t="s">
        <v>181</v>
      </c>
      <c r="C67" s="36" t="s">
        <v>191</v>
      </c>
      <c r="D67" s="36" t="s">
        <v>192</v>
      </c>
      <c r="E67" s="37">
        <f>8800+17600</f>
        <v>26400</v>
      </c>
      <c r="F67" s="37">
        <v>0</v>
      </c>
      <c r="G67" s="37">
        <f aca="true" t="shared" si="2" ref="G67:G78">E67+F67</f>
        <v>26400</v>
      </c>
      <c r="H67" s="66" t="s">
        <v>193</v>
      </c>
      <c r="I67" s="39">
        <v>105600</v>
      </c>
      <c r="J67" s="39">
        <v>88000</v>
      </c>
      <c r="K67" s="41">
        <v>40544</v>
      </c>
      <c r="L67" s="41" t="s">
        <v>67</v>
      </c>
      <c r="M67" s="44" t="s">
        <v>26</v>
      </c>
      <c r="N67" s="68" t="s">
        <v>27</v>
      </c>
    </row>
    <row r="68" spans="1:14" s="4" customFormat="1" ht="49.5" customHeight="1">
      <c r="A68" s="35">
        <f aca="true" t="shared" si="3" ref="A68:A78">A67+1</f>
        <v>66</v>
      </c>
      <c r="B68" s="36" t="s">
        <v>181</v>
      </c>
      <c r="C68" s="36" t="s">
        <v>194</v>
      </c>
      <c r="D68" s="36" t="s">
        <v>195</v>
      </c>
      <c r="E68" s="37">
        <v>0</v>
      </c>
      <c r="F68" s="37">
        <v>0</v>
      </c>
      <c r="G68" s="37">
        <f t="shared" si="2"/>
        <v>0</v>
      </c>
      <c r="H68" s="66" t="s">
        <v>196</v>
      </c>
      <c r="I68" s="39">
        <v>386608.8</v>
      </c>
      <c r="J68" s="39">
        <v>354391.4</v>
      </c>
      <c r="K68" s="41">
        <v>40544</v>
      </c>
      <c r="L68" s="41" t="s">
        <v>67</v>
      </c>
      <c r="M68" s="44" t="s">
        <v>26</v>
      </c>
      <c r="N68" s="68" t="s">
        <v>27</v>
      </c>
    </row>
    <row r="69" spans="1:14" s="4" customFormat="1" ht="49.5" customHeight="1">
      <c r="A69" s="35">
        <f t="shared" si="3"/>
        <v>67</v>
      </c>
      <c r="B69" s="36" t="s">
        <v>181</v>
      </c>
      <c r="C69" s="36" t="s">
        <v>185</v>
      </c>
      <c r="D69" s="36" t="s">
        <v>197</v>
      </c>
      <c r="E69" s="37">
        <v>36000</v>
      </c>
      <c r="F69" s="37">
        <v>0</v>
      </c>
      <c r="G69" s="37">
        <f t="shared" si="2"/>
        <v>36000</v>
      </c>
      <c r="H69" s="66" t="s">
        <v>184</v>
      </c>
      <c r="I69" s="39">
        <v>36000</v>
      </c>
      <c r="J69" s="39">
        <v>0</v>
      </c>
      <c r="K69" s="41">
        <v>40544</v>
      </c>
      <c r="L69" s="41" t="s">
        <v>67</v>
      </c>
      <c r="M69" s="44" t="s">
        <v>26</v>
      </c>
      <c r="N69" s="68" t="s">
        <v>27</v>
      </c>
    </row>
    <row r="70" spans="1:14" s="4" customFormat="1" ht="49.5" customHeight="1">
      <c r="A70" s="35">
        <f t="shared" si="3"/>
        <v>68</v>
      </c>
      <c r="B70" s="36" t="s">
        <v>181</v>
      </c>
      <c r="C70" s="36" t="s">
        <v>185</v>
      </c>
      <c r="D70" s="36" t="s">
        <v>198</v>
      </c>
      <c r="E70" s="37">
        <v>4407.62</v>
      </c>
      <c r="F70" s="37">
        <v>0</v>
      </c>
      <c r="G70" s="37">
        <f t="shared" si="2"/>
        <v>4407.62</v>
      </c>
      <c r="H70" s="67" t="s">
        <v>184</v>
      </c>
      <c r="I70" s="45">
        <v>245000</v>
      </c>
      <c r="J70" s="45">
        <v>237337.58</v>
      </c>
      <c r="K70" s="41">
        <v>40544</v>
      </c>
      <c r="L70" s="41" t="s">
        <v>67</v>
      </c>
      <c r="M70" s="41" t="s">
        <v>26</v>
      </c>
      <c r="N70" s="68" t="s">
        <v>27</v>
      </c>
    </row>
    <row r="71" spans="1:14" s="4" customFormat="1" ht="49.5" customHeight="1">
      <c r="A71" s="35">
        <f t="shared" si="3"/>
        <v>69</v>
      </c>
      <c r="B71" s="36" t="s">
        <v>181</v>
      </c>
      <c r="C71" s="36" t="s">
        <v>199</v>
      </c>
      <c r="D71" s="36" t="s">
        <v>200</v>
      </c>
      <c r="E71" s="37">
        <v>0</v>
      </c>
      <c r="F71" s="37">
        <v>0</v>
      </c>
      <c r="G71" s="37">
        <f t="shared" si="2"/>
        <v>0</v>
      </c>
      <c r="H71" s="67" t="s">
        <v>201</v>
      </c>
      <c r="I71" s="45">
        <v>95000</v>
      </c>
      <c r="J71" s="45">
        <v>95000</v>
      </c>
      <c r="K71" s="41">
        <v>40483</v>
      </c>
      <c r="L71" s="41" t="s">
        <v>67</v>
      </c>
      <c r="M71" s="41" t="s">
        <v>26</v>
      </c>
      <c r="N71" s="68" t="s">
        <v>27</v>
      </c>
    </row>
    <row r="72" spans="1:14" s="4" customFormat="1" ht="49.5" customHeight="1">
      <c r="A72" s="35">
        <f t="shared" si="3"/>
        <v>70</v>
      </c>
      <c r="B72" s="36" t="s">
        <v>181</v>
      </c>
      <c r="C72" s="36" t="s">
        <v>199</v>
      </c>
      <c r="D72" s="36" t="s">
        <v>202</v>
      </c>
      <c r="E72" s="37">
        <v>0</v>
      </c>
      <c r="F72" s="37">
        <v>0</v>
      </c>
      <c r="G72" s="37">
        <f t="shared" si="2"/>
        <v>0</v>
      </c>
      <c r="H72" s="67" t="s">
        <v>201</v>
      </c>
      <c r="I72" s="45">
        <v>30000</v>
      </c>
      <c r="J72" s="45">
        <v>30000</v>
      </c>
      <c r="K72" s="41">
        <v>40483</v>
      </c>
      <c r="L72" s="41" t="s">
        <v>67</v>
      </c>
      <c r="M72" s="41" t="s">
        <v>26</v>
      </c>
      <c r="N72" s="68" t="s">
        <v>27</v>
      </c>
    </row>
    <row r="73" spans="1:14" s="4" customFormat="1" ht="49.5" customHeight="1">
      <c r="A73" s="35">
        <f t="shared" si="3"/>
        <v>71</v>
      </c>
      <c r="B73" s="36" t="s">
        <v>181</v>
      </c>
      <c r="C73" s="36" t="s">
        <v>199</v>
      </c>
      <c r="D73" s="36" t="s">
        <v>203</v>
      </c>
      <c r="E73" s="37">
        <v>1950</v>
      </c>
      <c r="F73" s="37">
        <v>0</v>
      </c>
      <c r="G73" s="37">
        <f t="shared" si="2"/>
        <v>1950</v>
      </c>
      <c r="H73" s="67" t="s">
        <v>201</v>
      </c>
      <c r="I73" s="45">
        <v>1950</v>
      </c>
      <c r="J73" s="45">
        <v>0</v>
      </c>
      <c r="K73" s="41">
        <v>40878</v>
      </c>
      <c r="L73" s="41" t="s">
        <v>67</v>
      </c>
      <c r="M73" s="41" t="s">
        <v>26</v>
      </c>
      <c r="N73" s="68" t="s">
        <v>27</v>
      </c>
    </row>
    <row r="74" spans="1:14" s="4" customFormat="1" ht="49.5" customHeight="1">
      <c r="A74" s="35">
        <f t="shared" si="3"/>
        <v>72</v>
      </c>
      <c r="B74" s="36" t="s">
        <v>181</v>
      </c>
      <c r="C74" s="36" t="s">
        <v>204</v>
      </c>
      <c r="D74" s="36" t="s">
        <v>205</v>
      </c>
      <c r="E74" s="37">
        <v>0</v>
      </c>
      <c r="F74" s="37">
        <v>0</v>
      </c>
      <c r="G74" s="37">
        <f t="shared" si="2"/>
        <v>0</v>
      </c>
      <c r="H74" s="67" t="s">
        <v>206</v>
      </c>
      <c r="I74" s="45">
        <v>266666.7</v>
      </c>
      <c r="J74" s="37">
        <v>26666.67</v>
      </c>
      <c r="K74" s="41">
        <v>40544</v>
      </c>
      <c r="L74" s="41" t="s">
        <v>67</v>
      </c>
      <c r="M74" s="41" t="s">
        <v>26</v>
      </c>
      <c r="N74" s="68" t="s">
        <v>27</v>
      </c>
    </row>
    <row r="75" spans="1:14" s="4" customFormat="1" ht="49.5" customHeight="1">
      <c r="A75" s="35">
        <f t="shared" si="3"/>
        <v>73</v>
      </c>
      <c r="B75" s="36" t="s">
        <v>181</v>
      </c>
      <c r="C75" s="36" t="s">
        <v>204</v>
      </c>
      <c r="D75" s="36" t="s">
        <v>207</v>
      </c>
      <c r="E75" s="37">
        <v>0</v>
      </c>
      <c r="F75" s="37">
        <v>0</v>
      </c>
      <c r="G75" s="37">
        <f t="shared" si="2"/>
        <v>0</v>
      </c>
      <c r="H75" s="67" t="s">
        <v>208</v>
      </c>
      <c r="I75" s="45">
        <v>200000</v>
      </c>
      <c r="J75" s="37">
        <v>20000</v>
      </c>
      <c r="K75" s="41">
        <v>40544</v>
      </c>
      <c r="L75" s="41" t="s">
        <v>67</v>
      </c>
      <c r="M75" s="41" t="s">
        <v>26</v>
      </c>
      <c r="N75" s="68" t="s">
        <v>27</v>
      </c>
    </row>
    <row r="76" spans="1:14" s="4" customFormat="1" ht="49.5" customHeight="1">
      <c r="A76" s="35">
        <f t="shared" si="3"/>
        <v>74</v>
      </c>
      <c r="B76" s="36" t="s">
        <v>181</v>
      </c>
      <c r="C76" s="36" t="s">
        <v>204</v>
      </c>
      <c r="D76" s="36" t="s">
        <v>209</v>
      </c>
      <c r="E76" s="37">
        <v>0</v>
      </c>
      <c r="F76" s="37">
        <v>0</v>
      </c>
      <c r="G76" s="37">
        <f t="shared" si="2"/>
        <v>0</v>
      </c>
      <c r="H76" s="67" t="s">
        <v>210</v>
      </c>
      <c r="I76" s="45">
        <v>400000</v>
      </c>
      <c r="J76" s="37">
        <v>40000</v>
      </c>
      <c r="K76" s="41">
        <v>40544</v>
      </c>
      <c r="L76" s="41" t="s">
        <v>67</v>
      </c>
      <c r="M76" s="41" t="s">
        <v>26</v>
      </c>
      <c r="N76" s="68" t="s">
        <v>27</v>
      </c>
    </row>
    <row r="77" spans="1:14" s="4" customFormat="1" ht="49.5" customHeight="1">
      <c r="A77" s="35">
        <f t="shared" si="3"/>
        <v>75</v>
      </c>
      <c r="B77" s="36" t="s">
        <v>181</v>
      </c>
      <c r="C77" s="36" t="s">
        <v>204</v>
      </c>
      <c r="D77" s="36" t="s">
        <v>211</v>
      </c>
      <c r="E77" s="37">
        <v>0</v>
      </c>
      <c r="F77" s="37">
        <v>0</v>
      </c>
      <c r="G77" s="37">
        <f t="shared" si="2"/>
        <v>0</v>
      </c>
      <c r="H77" s="67" t="s">
        <v>212</v>
      </c>
      <c r="I77" s="45">
        <v>200000</v>
      </c>
      <c r="J77" s="37">
        <v>20000</v>
      </c>
      <c r="K77" s="41">
        <v>40544</v>
      </c>
      <c r="L77" s="41" t="s">
        <v>67</v>
      </c>
      <c r="M77" s="41" t="s">
        <v>26</v>
      </c>
      <c r="N77" s="68" t="s">
        <v>27</v>
      </c>
    </row>
    <row r="78" spans="1:14" s="4" customFormat="1" ht="49.5" customHeight="1" thickBot="1">
      <c r="A78" s="48">
        <f t="shared" si="3"/>
        <v>76</v>
      </c>
      <c r="B78" s="49" t="s">
        <v>181</v>
      </c>
      <c r="C78" s="49" t="s">
        <v>204</v>
      </c>
      <c r="D78" s="49" t="s">
        <v>213</v>
      </c>
      <c r="E78" s="50">
        <v>0</v>
      </c>
      <c r="F78" s="50">
        <v>0</v>
      </c>
      <c r="G78" s="50">
        <f t="shared" si="2"/>
        <v>0</v>
      </c>
      <c r="H78" s="69" t="s">
        <v>214</v>
      </c>
      <c r="I78" s="52">
        <v>200000</v>
      </c>
      <c r="J78" s="50">
        <v>20000</v>
      </c>
      <c r="K78" s="54">
        <v>40544</v>
      </c>
      <c r="L78" s="54" t="s">
        <v>67</v>
      </c>
      <c r="M78" s="54" t="s">
        <v>26</v>
      </c>
      <c r="N78" s="70" t="s">
        <v>27</v>
      </c>
    </row>
    <row r="79" spans="1:14" s="4" customFormat="1" ht="49.5" customHeight="1" thickBot="1" thickTop="1">
      <c r="A79" s="9"/>
      <c r="B79" s="10"/>
      <c r="C79" s="10"/>
      <c r="D79" s="57" t="s">
        <v>215</v>
      </c>
      <c r="E79" s="58">
        <f>SUM(E3:E78)</f>
        <v>3000387.57</v>
      </c>
      <c r="F79" s="58">
        <f>SUM(F3:F78)</f>
        <v>0</v>
      </c>
      <c r="G79" s="59">
        <f>SUM(G3:G78)</f>
        <v>3000387.57</v>
      </c>
      <c r="H79" s="10"/>
      <c r="I79" s="10"/>
      <c r="J79" s="10"/>
      <c r="K79" s="10"/>
      <c r="L79" s="11"/>
      <c r="M79" s="10"/>
      <c r="N79" s="12"/>
    </row>
    <row r="80" ht="13.5" thickTop="1"/>
    <row r="81" spans="1:14" s="15" customFormat="1" ht="12.75">
      <c r="A81" s="13"/>
      <c r="B81" s="14"/>
      <c r="C81" s="14"/>
      <c r="D81" s="25" t="s">
        <v>238</v>
      </c>
      <c r="E81" s="25"/>
      <c r="F81" s="25"/>
      <c r="G81" s="25"/>
      <c r="K81" s="14"/>
      <c r="L81" s="16"/>
      <c r="M81" s="14"/>
      <c r="N81" s="17"/>
    </row>
    <row r="82" spans="2:13" s="15" customFormat="1" ht="12.75">
      <c r="B82" s="22"/>
      <c r="C82" s="22"/>
      <c r="E82" s="22"/>
      <c r="F82" s="22"/>
      <c r="G82" s="22"/>
      <c r="K82" s="22"/>
      <c r="L82" s="22"/>
      <c r="M82" s="22"/>
    </row>
    <row r="83" spans="1:14" s="15" customFormat="1" ht="12.75">
      <c r="A83" s="20"/>
      <c r="B83" s="24" t="s">
        <v>221</v>
      </c>
      <c r="C83" s="24"/>
      <c r="E83" s="23" t="s">
        <v>222</v>
      </c>
      <c r="F83" s="23"/>
      <c r="G83" s="23"/>
      <c r="K83" s="23" t="s">
        <v>223</v>
      </c>
      <c r="L83" s="23"/>
      <c r="M83" s="23"/>
      <c r="N83" s="19"/>
    </row>
    <row r="84" spans="1:14" s="15" customFormat="1" ht="12.75">
      <c r="A84" s="21"/>
      <c r="B84" s="18" t="s">
        <v>224</v>
      </c>
      <c r="C84" s="18"/>
      <c r="E84" s="18" t="s">
        <v>225</v>
      </c>
      <c r="F84" s="18"/>
      <c r="G84" s="18"/>
      <c r="K84" s="18" t="s">
        <v>226</v>
      </c>
      <c r="L84" s="18"/>
      <c r="M84" s="18"/>
      <c r="N84" s="19"/>
    </row>
  </sheetData>
  <sheetProtection selectLockedCells="1" selectUnlockedCells="1"/>
  <mergeCells count="11">
    <mergeCell ref="B84:C84"/>
    <mergeCell ref="E84:G84"/>
    <mergeCell ref="K84:M84"/>
    <mergeCell ref="A1:N1"/>
    <mergeCell ref="D81:G81"/>
    <mergeCell ref="B82:C82"/>
    <mergeCell ref="E82:G82"/>
    <mergeCell ref="K82:M82"/>
    <mergeCell ref="B83:C83"/>
    <mergeCell ref="E83:G83"/>
    <mergeCell ref="K83:M83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showGridLines="0" zoomScalePageLayoutView="0" workbookViewId="0" topLeftCell="A79">
      <selection activeCell="F83" sqref="F8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f aca="true" t="shared" si="0" ref="G3:G66">E3+F3</f>
        <v>8415</v>
      </c>
      <c r="H3" s="64" t="s">
        <v>12</v>
      </c>
      <c r="I3" s="30">
        <f>12*8415</f>
        <v>100980</v>
      </c>
      <c r="J3" s="28">
        <f>25245+16830+8415+33660+8415</f>
        <v>92565</v>
      </c>
      <c r="K3" s="32">
        <v>40545</v>
      </c>
      <c r="L3" s="32">
        <v>40908</v>
      </c>
      <c r="M3" s="33" t="s">
        <v>13</v>
      </c>
      <c r="N3" s="34" t="s">
        <v>14</v>
      </c>
    </row>
    <row r="4" spans="1:14" s="4" customFormat="1" ht="49.5" customHeight="1">
      <c r="A4" s="35">
        <f aca="true" t="shared" si="1" ref="A4:A38">A3+1</f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f t="shared" si="0"/>
        <v>7150</v>
      </c>
      <c r="H4" s="66" t="s">
        <v>16</v>
      </c>
      <c r="I4" s="39">
        <f>7150*12</f>
        <v>85800</v>
      </c>
      <c r="J4" s="37">
        <f>21450+14300+7150+28600+7150</f>
        <v>78650</v>
      </c>
      <c r="K4" s="41">
        <v>40545</v>
      </c>
      <c r="L4" s="41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17</v>
      </c>
      <c r="C5" s="36" t="s">
        <v>18</v>
      </c>
      <c r="D5" s="36" t="s">
        <v>19</v>
      </c>
      <c r="E5" s="37">
        <v>0</v>
      </c>
      <c r="F5" s="37">
        <v>0</v>
      </c>
      <c r="G5" s="37">
        <f t="shared" si="0"/>
        <v>0</v>
      </c>
      <c r="H5" s="66" t="s">
        <v>20</v>
      </c>
      <c r="I5" s="39">
        <v>2556407.93</v>
      </c>
      <c r="J5" s="39">
        <v>383461.19</v>
      </c>
      <c r="K5" s="41">
        <v>40142</v>
      </c>
      <c r="L5" s="41">
        <v>40872</v>
      </c>
      <c r="M5" s="38" t="s">
        <v>21</v>
      </c>
      <c r="N5" s="42" t="s">
        <v>22</v>
      </c>
    </row>
    <row r="6" spans="1:14" s="4" customFormat="1" ht="49.5" customHeight="1">
      <c r="A6" s="35">
        <f t="shared" si="1"/>
        <v>4</v>
      </c>
      <c r="B6" s="36" t="s">
        <v>17</v>
      </c>
      <c r="C6" s="36" t="s">
        <v>23</v>
      </c>
      <c r="D6" s="36" t="s">
        <v>24</v>
      </c>
      <c r="E6" s="37">
        <v>279227.1</v>
      </c>
      <c r="F6" s="37">
        <v>0</v>
      </c>
      <c r="G6" s="37">
        <f t="shared" si="0"/>
        <v>279227.1</v>
      </c>
      <c r="H6" s="66" t="s">
        <v>25</v>
      </c>
      <c r="I6" s="39">
        <v>2792271</v>
      </c>
      <c r="J6" s="37">
        <f>279227.1+279227.1+279227.1+279227.1+279227.1</f>
        <v>1396135.5</v>
      </c>
      <c r="K6" s="41">
        <v>39995</v>
      </c>
      <c r="L6" s="41">
        <v>41820</v>
      </c>
      <c r="M6" s="38" t="s">
        <v>26</v>
      </c>
      <c r="N6" s="42" t="s">
        <v>27</v>
      </c>
    </row>
    <row r="7" spans="1:14" s="4" customFormat="1" ht="49.5" customHeight="1">
      <c r="A7" s="35">
        <f t="shared" si="1"/>
        <v>5</v>
      </c>
      <c r="B7" s="36" t="s">
        <v>28</v>
      </c>
      <c r="C7" s="36" t="s">
        <v>29</v>
      </c>
      <c r="D7" s="36" t="s">
        <v>30</v>
      </c>
      <c r="E7" s="37">
        <v>0</v>
      </c>
      <c r="F7" s="37">
        <v>0</v>
      </c>
      <c r="G7" s="37">
        <f t="shared" si="0"/>
        <v>0</v>
      </c>
      <c r="H7" s="66" t="s">
        <v>31</v>
      </c>
      <c r="I7" s="39">
        <v>273666.94</v>
      </c>
      <c r="J7" s="39">
        <v>273666.94</v>
      </c>
      <c r="K7" s="41">
        <v>40178</v>
      </c>
      <c r="L7" s="41">
        <v>40542</v>
      </c>
      <c r="M7" s="38" t="s">
        <v>32</v>
      </c>
      <c r="N7" s="42" t="s">
        <v>27</v>
      </c>
    </row>
    <row r="8" spans="1:14" s="4" customFormat="1" ht="49.5" customHeight="1">
      <c r="A8" s="35">
        <f t="shared" si="1"/>
        <v>6</v>
      </c>
      <c r="B8" s="36" t="s">
        <v>28</v>
      </c>
      <c r="C8" s="36" t="s">
        <v>29</v>
      </c>
      <c r="D8" s="36" t="s">
        <v>33</v>
      </c>
      <c r="E8" s="37">
        <v>0</v>
      </c>
      <c r="F8" s="37">
        <v>0</v>
      </c>
      <c r="G8" s="37">
        <f t="shared" si="0"/>
        <v>0</v>
      </c>
      <c r="H8" s="66" t="s">
        <v>34</v>
      </c>
      <c r="I8" s="39">
        <v>1636649.08</v>
      </c>
      <c r="J8" s="39">
        <v>514958.82</v>
      </c>
      <c r="K8" s="41">
        <v>40176</v>
      </c>
      <c r="L8" s="41">
        <v>40722</v>
      </c>
      <c r="M8" s="38" t="s">
        <v>35</v>
      </c>
      <c r="N8" s="42" t="s">
        <v>27</v>
      </c>
    </row>
    <row r="9" spans="1:14" s="4" customFormat="1" ht="49.5" customHeight="1">
      <c r="A9" s="35">
        <f t="shared" si="1"/>
        <v>7</v>
      </c>
      <c r="B9" s="36" t="s">
        <v>28</v>
      </c>
      <c r="C9" s="36" t="s">
        <v>29</v>
      </c>
      <c r="D9" s="36" t="s">
        <v>36</v>
      </c>
      <c r="E9" s="37">
        <v>0</v>
      </c>
      <c r="F9" s="37">
        <v>0</v>
      </c>
      <c r="G9" s="37">
        <f t="shared" si="0"/>
        <v>0</v>
      </c>
      <c r="H9" s="67" t="s">
        <v>37</v>
      </c>
      <c r="I9" s="45">
        <v>1492263.04</v>
      </c>
      <c r="J9" s="45">
        <v>517381.16</v>
      </c>
      <c r="K9" s="41">
        <v>40176</v>
      </c>
      <c r="L9" s="41">
        <v>40905</v>
      </c>
      <c r="M9" s="38" t="s">
        <v>38</v>
      </c>
      <c r="N9" s="42" t="s">
        <v>27</v>
      </c>
    </row>
    <row r="10" spans="1:14" s="4" customFormat="1" ht="49.5" customHeight="1">
      <c r="A10" s="35">
        <f t="shared" si="1"/>
        <v>8</v>
      </c>
      <c r="B10" s="36" t="s">
        <v>28</v>
      </c>
      <c r="C10" s="36" t="s">
        <v>29</v>
      </c>
      <c r="D10" s="36" t="s">
        <v>39</v>
      </c>
      <c r="E10" s="37">
        <v>147662.4</v>
      </c>
      <c r="F10" s="37">
        <v>0</v>
      </c>
      <c r="G10" s="37">
        <f t="shared" si="0"/>
        <v>147662.4</v>
      </c>
      <c r="H10" s="66" t="s">
        <v>40</v>
      </c>
      <c r="I10" s="39">
        <v>322420.94</v>
      </c>
      <c r="J10" s="39">
        <v>174758.54</v>
      </c>
      <c r="K10" s="41">
        <v>40176</v>
      </c>
      <c r="L10" s="46">
        <v>40540</v>
      </c>
      <c r="M10" s="38" t="s">
        <v>32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41</v>
      </c>
      <c r="E11" s="37">
        <v>0</v>
      </c>
      <c r="F11" s="37">
        <v>0</v>
      </c>
      <c r="G11" s="37">
        <f t="shared" si="0"/>
        <v>0</v>
      </c>
      <c r="H11" s="66" t="s">
        <v>42</v>
      </c>
      <c r="I11" s="39">
        <v>851408.61</v>
      </c>
      <c r="J11" s="39">
        <f>588308.41+263100.2</f>
        <v>851408.6100000001</v>
      </c>
      <c r="K11" s="41">
        <v>38890</v>
      </c>
      <c r="L11" s="41">
        <v>40056</v>
      </c>
      <c r="M11" s="38" t="s">
        <v>26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43</v>
      </c>
      <c r="E12" s="37">
        <v>0</v>
      </c>
      <c r="F12" s="37">
        <v>0</v>
      </c>
      <c r="G12" s="37">
        <f t="shared" si="0"/>
        <v>0</v>
      </c>
      <c r="H12" s="66" t="s">
        <v>44</v>
      </c>
      <c r="I12" s="39">
        <v>352000</v>
      </c>
      <c r="J12" s="39">
        <v>211200</v>
      </c>
      <c r="K12" s="41">
        <v>39633</v>
      </c>
      <c r="L12" s="41">
        <v>39993</v>
      </c>
      <c r="M12" s="38" t="s">
        <v>35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45</v>
      </c>
      <c r="E13" s="37">
        <v>0</v>
      </c>
      <c r="F13" s="37">
        <v>0</v>
      </c>
      <c r="G13" s="37">
        <f t="shared" si="0"/>
        <v>0</v>
      </c>
      <c r="H13" s="66" t="s">
        <v>46</v>
      </c>
      <c r="I13" s="39">
        <v>516646.91</v>
      </c>
      <c r="J13" s="39">
        <v>437114.41</v>
      </c>
      <c r="K13" s="41">
        <v>40536</v>
      </c>
      <c r="L13" s="41">
        <v>40900</v>
      </c>
      <c r="M13" s="38" t="s">
        <v>26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47</v>
      </c>
      <c r="E14" s="37">
        <v>0</v>
      </c>
      <c r="F14" s="37">
        <v>0</v>
      </c>
      <c r="G14" s="37">
        <f t="shared" si="0"/>
        <v>0</v>
      </c>
      <c r="H14" s="66" t="s">
        <v>48</v>
      </c>
      <c r="I14" s="39">
        <v>100000</v>
      </c>
      <c r="J14" s="39">
        <v>100000</v>
      </c>
      <c r="K14" s="41">
        <v>40177</v>
      </c>
      <c r="L14" s="41">
        <v>40541</v>
      </c>
      <c r="M14" s="38" t="s">
        <v>32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49</v>
      </c>
      <c r="E15" s="37">
        <v>0</v>
      </c>
      <c r="F15" s="37">
        <v>0</v>
      </c>
      <c r="G15" s="37">
        <f t="shared" si="0"/>
        <v>0</v>
      </c>
      <c r="H15" s="66" t="s">
        <v>50</v>
      </c>
      <c r="I15" s="39">
        <v>202569.34</v>
      </c>
      <c r="J15" s="39">
        <v>202569.343</v>
      </c>
      <c r="K15" s="41">
        <v>40542</v>
      </c>
      <c r="L15" s="41">
        <v>40907</v>
      </c>
      <c r="M15" s="38" t="s">
        <v>26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51</v>
      </c>
      <c r="E16" s="37">
        <v>182038.38</v>
      </c>
      <c r="F16" s="37">
        <v>0</v>
      </c>
      <c r="G16" s="37">
        <f t="shared" si="0"/>
        <v>182038.38</v>
      </c>
      <c r="H16" s="66" t="s">
        <v>52</v>
      </c>
      <c r="I16" s="39">
        <v>3640767.5</v>
      </c>
      <c r="J16" s="39">
        <v>0</v>
      </c>
      <c r="K16" s="41">
        <v>40542</v>
      </c>
      <c r="L16" s="41">
        <v>42001</v>
      </c>
      <c r="M16" s="38" t="s">
        <v>35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53</v>
      </c>
      <c r="C17" s="36" t="s">
        <v>29</v>
      </c>
      <c r="D17" s="36" t="s">
        <v>54</v>
      </c>
      <c r="E17" s="37">
        <v>771437.88</v>
      </c>
      <c r="F17" s="37">
        <v>0</v>
      </c>
      <c r="G17" s="37">
        <f t="shared" si="0"/>
        <v>771437.88</v>
      </c>
      <c r="H17" s="66" t="s">
        <v>55</v>
      </c>
      <c r="I17" s="39">
        <v>771437.88</v>
      </c>
      <c r="J17" s="39">
        <v>0</v>
      </c>
      <c r="K17" s="41">
        <v>40886</v>
      </c>
      <c r="L17" s="41">
        <v>41617</v>
      </c>
      <c r="M17" s="38" t="s">
        <v>35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53</v>
      </c>
      <c r="C18" s="36" t="s">
        <v>29</v>
      </c>
      <c r="D18" s="36" t="s">
        <v>56</v>
      </c>
      <c r="E18" s="37">
        <v>90000</v>
      </c>
      <c r="F18" s="37">
        <v>0</v>
      </c>
      <c r="G18" s="37">
        <f t="shared" si="0"/>
        <v>90000</v>
      </c>
      <c r="H18" s="66" t="s">
        <v>57</v>
      </c>
      <c r="I18" s="39">
        <v>3944386.94</v>
      </c>
      <c r="J18" s="39">
        <v>0</v>
      </c>
      <c r="K18" s="41">
        <v>40904</v>
      </c>
      <c r="L18" s="41">
        <v>42000</v>
      </c>
      <c r="M18" s="38" t="s">
        <v>35</v>
      </c>
      <c r="N18" s="42" t="s">
        <v>27</v>
      </c>
    </row>
    <row r="19" spans="1:15" s="7" customFormat="1" ht="49.5" customHeight="1">
      <c r="A19" s="35">
        <f t="shared" si="1"/>
        <v>17</v>
      </c>
      <c r="B19" s="36" t="s">
        <v>28</v>
      </c>
      <c r="C19" s="36" t="s">
        <v>58</v>
      </c>
      <c r="D19" s="36" t="s">
        <v>59</v>
      </c>
      <c r="E19" s="37">
        <v>0</v>
      </c>
      <c r="F19" s="37">
        <v>0</v>
      </c>
      <c r="G19" s="37">
        <f t="shared" si="0"/>
        <v>0</v>
      </c>
      <c r="H19" s="66" t="s">
        <v>60</v>
      </c>
      <c r="I19" s="39">
        <v>250000</v>
      </c>
      <c r="J19" s="39">
        <v>250000</v>
      </c>
      <c r="K19" s="41">
        <v>40155</v>
      </c>
      <c r="L19" s="46">
        <v>40519</v>
      </c>
      <c r="M19" s="38" t="s">
        <v>26</v>
      </c>
      <c r="N19" s="42" t="s">
        <v>27</v>
      </c>
      <c r="O19" s="4"/>
    </row>
    <row r="20" spans="1:15" s="7" customFormat="1" ht="49.5" customHeight="1">
      <c r="A20" s="35">
        <f t="shared" si="1"/>
        <v>18</v>
      </c>
      <c r="B20" s="36" t="s">
        <v>28</v>
      </c>
      <c r="C20" s="36" t="s">
        <v>58</v>
      </c>
      <c r="D20" s="36" t="s">
        <v>61</v>
      </c>
      <c r="E20" s="37">
        <v>0</v>
      </c>
      <c r="F20" s="37">
        <v>0</v>
      </c>
      <c r="G20" s="37">
        <f t="shared" si="0"/>
        <v>0</v>
      </c>
      <c r="H20" s="67" t="s">
        <v>62</v>
      </c>
      <c r="I20" s="45">
        <v>700000</v>
      </c>
      <c r="J20" s="45">
        <v>486857</v>
      </c>
      <c r="K20" s="41">
        <v>40532</v>
      </c>
      <c r="L20" s="41">
        <v>40711</v>
      </c>
      <c r="M20" s="38" t="s">
        <v>26</v>
      </c>
      <c r="N20" s="42" t="s">
        <v>27</v>
      </c>
      <c r="O20" s="4"/>
    </row>
    <row r="21" spans="1:15" s="7" customFormat="1" ht="49.5" customHeight="1">
      <c r="A21" s="35">
        <f t="shared" si="1"/>
        <v>19</v>
      </c>
      <c r="B21" s="36" t="s">
        <v>63</v>
      </c>
      <c r="C21" s="36" t="s">
        <v>64</v>
      </c>
      <c r="D21" s="36" t="s">
        <v>65</v>
      </c>
      <c r="E21" s="37">
        <v>0</v>
      </c>
      <c r="F21" s="37">
        <v>0</v>
      </c>
      <c r="G21" s="37">
        <f t="shared" si="0"/>
        <v>0</v>
      </c>
      <c r="H21" s="66" t="s">
        <v>66</v>
      </c>
      <c r="I21" s="39">
        <v>47533.89</v>
      </c>
      <c r="J21" s="39">
        <v>47533.89</v>
      </c>
      <c r="K21" s="41">
        <v>39814</v>
      </c>
      <c r="L21" s="41" t="s">
        <v>67</v>
      </c>
      <c r="M21" s="38" t="s">
        <v>26</v>
      </c>
      <c r="N21" s="42" t="s">
        <v>68</v>
      </c>
      <c r="O21" s="4"/>
    </row>
    <row r="22" spans="1:15" s="7" customFormat="1" ht="49.5" customHeight="1">
      <c r="A22" s="35">
        <f t="shared" si="1"/>
        <v>20</v>
      </c>
      <c r="B22" s="36" t="s">
        <v>63</v>
      </c>
      <c r="C22" s="36" t="s">
        <v>64</v>
      </c>
      <c r="D22" s="36" t="s">
        <v>69</v>
      </c>
      <c r="E22" s="37">
        <v>0</v>
      </c>
      <c r="F22" s="37">
        <v>0</v>
      </c>
      <c r="G22" s="37">
        <f t="shared" si="0"/>
        <v>0</v>
      </c>
      <c r="H22" s="66" t="s">
        <v>66</v>
      </c>
      <c r="I22" s="39">
        <f>2880+6720</f>
        <v>9600</v>
      </c>
      <c r="J22" s="39">
        <f>7600+2000</f>
        <v>9600</v>
      </c>
      <c r="K22" s="41">
        <v>40303</v>
      </c>
      <c r="L22" s="41" t="s">
        <v>67</v>
      </c>
      <c r="M22" s="38" t="s">
        <v>26</v>
      </c>
      <c r="N22" s="42" t="s">
        <v>68</v>
      </c>
      <c r="O22" s="4"/>
    </row>
    <row r="23" spans="1:15" s="7" customFormat="1" ht="49.5" customHeight="1">
      <c r="A23" s="35">
        <f t="shared" si="1"/>
        <v>21</v>
      </c>
      <c r="B23" s="36" t="s">
        <v>63</v>
      </c>
      <c r="C23" s="36" t="s">
        <v>70</v>
      </c>
      <c r="D23" s="36" t="s">
        <v>71</v>
      </c>
      <c r="E23" s="37">
        <v>0</v>
      </c>
      <c r="F23" s="37">
        <v>0</v>
      </c>
      <c r="G23" s="37">
        <f t="shared" si="0"/>
        <v>0</v>
      </c>
      <c r="H23" s="66" t="s">
        <v>72</v>
      </c>
      <c r="I23" s="39">
        <v>70000</v>
      </c>
      <c r="J23" s="39">
        <v>70000</v>
      </c>
      <c r="K23" s="41">
        <v>40540</v>
      </c>
      <c r="L23" s="41">
        <v>40724</v>
      </c>
      <c r="M23" s="38" t="s">
        <v>26</v>
      </c>
      <c r="N23" s="42" t="s">
        <v>68</v>
      </c>
      <c r="O23" s="4"/>
    </row>
    <row r="24" spans="1:15" s="7" customFormat="1" ht="49.5" customHeight="1">
      <c r="A24" s="35">
        <f t="shared" si="1"/>
        <v>22</v>
      </c>
      <c r="B24" s="36" t="s">
        <v>63</v>
      </c>
      <c r="C24" s="36" t="s">
        <v>70</v>
      </c>
      <c r="D24" s="36" t="s">
        <v>73</v>
      </c>
      <c r="E24" s="37">
        <v>0</v>
      </c>
      <c r="F24" s="37">
        <v>0</v>
      </c>
      <c r="G24" s="37">
        <f t="shared" si="0"/>
        <v>0</v>
      </c>
      <c r="H24" s="66" t="s">
        <v>74</v>
      </c>
      <c r="I24" s="39">
        <v>60000</v>
      </c>
      <c r="J24" s="39">
        <v>60000</v>
      </c>
      <c r="K24" s="41">
        <v>40540</v>
      </c>
      <c r="L24" s="41">
        <v>40724</v>
      </c>
      <c r="M24" s="38" t="s">
        <v>26</v>
      </c>
      <c r="N24" s="42" t="s">
        <v>68</v>
      </c>
      <c r="O24" s="4"/>
    </row>
    <row r="25" spans="1:15" s="7" customFormat="1" ht="49.5" customHeight="1">
      <c r="A25" s="35">
        <f t="shared" si="1"/>
        <v>23</v>
      </c>
      <c r="B25" s="36" t="s">
        <v>63</v>
      </c>
      <c r="C25" s="36" t="s">
        <v>75</v>
      </c>
      <c r="D25" s="36" t="s">
        <v>76</v>
      </c>
      <c r="E25" s="37">
        <v>0</v>
      </c>
      <c r="F25" s="37">
        <v>0</v>
      </c>
      <c r="G25" s="37">
        <f t="shared" si="0"/>
        <v>0</v>
      </c>
      <c r="H25" s="66" t="s">
        <v>77</v>
      </c>
      <c r="I25" s="39">
        <v>630000</v>
      </c>
      <c r="J25" s="39">
        <v>630000</v>
      </c>
      <c r="K25" s="41">
        <v>40599</v>
      </c>
      <c r="L25" s="41">
        <v>40908</v>
      </c>
      <c r="M25" s="38" t="s">
        <v>26</v>
      </c>
      <c r="N25" s="42" t="s">
        <v>68</v>
      </c>
      <c r="O25" s="4"/>
    </row>
    <row r="26" spans="1:15" s="7" customFormat="1" ht="49.5" customHeight="1">
      <c r="A26" s="35">
        <f t="shared" si="1"/>
        <v>24</v>
      </c>
      <c r="B26" s="36" t="s">
        <v>63</v>
      </c>
      <c r="C26" s="36" t="s">
        <v>75</v>
      </c>
      <c r="D26" s="36" t="s">
        <v>78</v>
      </c>
      <c r="E26" s="37">
        <v>105000</v>
      </c>
      <c r="F26" s="37">
        <v>0</v>
      </c>
      <c r="G26" s="37">
        <f t="shared" si="0"/>
        <v>105000</v>
      </c>
      <c r="H26" s="66" t="s">
        <v>79</v>
      </c>
      <c r="I26" s="39">
        <v>630000</v>
      </c>
      <c r="J26" s="39">
        <v>525000</v>
      </c>
      <c r="K26" s="41">
        <v>40751</v>
      </c>
      <c r="L26" s="41">
        <v>40908</v>
      </c>
      <c r="M26" s="38" t="s">
        <v>26</v>
      </c>
      <c r="N26" s="42" t="s">
        <v>68</v>
      </c>
      <c r="O26" s="4"/>
    </row>
    <row r="27" spans="1:15" s="7" customFormat="1" ht="49.5" customHeight="1">
      <c r="A27" s="35">
        <f t="shared" si="1"/>
        <v>25</v>
      </c>
      <c r="B27" s="36" t="s">
        <v>80</v>
      </c>
      <c r="C27" s="36" t="s">
        <v>81</v>
      </c>
      <c r="D27" s="36" t="s">
        <v>82</v>
      </c>
      <c r="E27" s="37">
        <v>0</v>
      </c>
      <c r="F27" s="37">
        <v>0</v>
      </c>
      <c r="G27" s="37">
        <f t="shared" si="0"/>
        <v>0</v>
      </c>
      <c r="H27" s="66" t="s">
        <v>83</v>
      </c>
      <c r="I27" s="39">
        <v>126000</v>
      </c>
      <c r="J27" s="39">
        <f>66036+47363</f>
        <v>113399</v>
      </c>
      <c r="K27" s="41">
        <v>39071</v>
      </c>
      <c r="L27" s="41" t="s">
        <v>84</v>
      </c>
      <c r="M27" s="38" t="s">
        <v>26</v>
      </c>
      <c r="N27" s="42" t="s">
        <v>27</v>
      </c>
      <c r="O27" s="4"/>
    </row>
    <row r="28" spans="1:15" s="7" customFormat="1" ht="49.5" customHeight="1">
      <c r="A28" s="35">
        <f t="shared" si="1"/>
        <v>26</v>
      </c>
      <c r="B28" s="36" t="s">
        <v>85</v>
      </c>
      <c r="C28" s="36" t="s">
        <v>86</v>
      </c>
      <c r="D28" s="36" t="s">
        <v>87</v>
      </c>
      <c r="E28" s="37">
        <v>8732.91</v>
      </c>
      <c r="F28" s="37">
        <v>0</v>
      </c>
      <c r="G28" s="37">
        <f t="shared" si="0"/>
        <v>8732.91</v>
      </c>
      <c r="H28" s="67" t="s">
        <v>88</v>
      </c>
      <c r="I28" s="45">
        <v>85000</v>
      </c>
      <c r="J28" s="45">
        <v>0</v>
      </c>
      <c r="K28" s="41">
        <v>38611</v>
      </c>
      <c r="L28" s="41" t="s">
        <v>67</v>
      </c>
      <c r="M28" s="46" t="s">
        <v>26</v>
      </c>
      <c r="N28" s="42" t="s">
        <v>27</v>
      </c>
      <c r="O28" s="4"/>
    </row>
    <row r="29" spans="1:15" s="7" customFormat="1" ht="49.5" customHeight="1">
      <c r="A29" s="35">
        <f t="shared" si="1"/>
        <v>27</v>
      </c>
      <c r="B29" s="36" t="s">
        <v>89</v>
      </c>
      <c r="C29" s="36" t="s">
        <v>90</v>
      </c>
      <c r="D29" s="36" t="s">
        <v>91</v>
      </c>
      <c r="E29" s="39">
        <v>0</v>
      </c>
      <c r="F29" s="37">
        <v>0</v>
      </c>
      <c r="G29" s="37">
        <f t="shared" si="0"/>
        <v>0</v>
      </c>
      <c r="H29" s="67" t="s">
        <v>92</v>
      </c>
      <c r="I29" s="45">
        <v>292500</v>
      </c>
      <c r="J29" s="45">
        <v>292500</v>
      </c>
      <c r="K29" s="41">
        <v>40350</v>
      </c>
      <c r="L29" s="41">
        <v>40775</v>
      </c>
      <c r="M29" s="46" t="s">
        <v>26</v>
      </c>
      <c r="N29" s="42" t="s">
        <v>27</v>
      </c>
      <c r="O29" s="4"/>
    </row>
    <row r="30" spans="1:15" s="7" customFormat="1" ht="49.5" customHeight="1">
      <c r="A30" s="35">
        <f t="shared" si="1"/>
        <v>28</v>
      </c>
      <c r="B30" s="36" t="s">
        <v>93</v>
      </c>
      <c r="C30" s="36" t="s">
        <v>94</v>
      </c>
      <c r="D30" s="36" t="s">
        <v>95</v>
      </c>
      <c r="E30" s="37">
        <v>179904</v>
      </c>
      <c r="F30" s="37">
        <v>0</v>
      </c>
      <c r="G30" s="37">
        <f t="shared" si="0"/>
        <v>179904</v>
      </c>
      <c r="H30" s="66" t="s">
        <v>96</v>
      </c>
      <c r="I30" s="39">
        <v>1803960</v>
      </c>
      <c r="J30" s="39">
        <v>0</v>
      </c>
      <c r="K30" s="41">
        <v>40544</v>
      </c>
      <c r="L30" s="41">
        <v>40908</v>
      </c>
      <c r="M30" s="46" t="s">
        <v>26</v>
      </c>
      <c r="N30" s="42" t="s">
        <v>68</v>
      </c>
      <c r="O30" s="4"/>
    </row>
    <row r="31" spans="1:15" s="7" customFormat="1" ht="49.5" customHeight="1">
      <c r="A31" s="35">
        <f t="shared" si="1"/>
        <v>29</v>
      </c>
      <c r="B31" s="36" t="s">
        <v>93</v>
      </c>
      <c r="C31" s="36" t="s">
        <v>97</v>
      </c>
      <c r="D31" s="36" t="s">
        <v>97</v>
      </c>
      <c r="E31" s="37">
        <v>0</v>
      </c>
      <c r="F31" s="37">
        <v>0</v>
      </c>
      <c r="G31" s="37">
        <f t="shared" si="0"/>
        <v>0</v>
      </c>
      <c r="H31" s="66" t="s">
        <v>98</v>
      </c>
      <c r="I31" s="39">
        <v>232427</v>
      </c>
      <c r="J31" s="39">
        <v>0</v>
      </c>
      <c r="K31" s="41">
        <v>40544</v>
      </c>
      <c r="L31" s="41">
        <v>40908</v>
      </c>
      <c r="M31" s="46" t="s">
        <v>26</v>
      </c>
      <c r="N31" s="42" t="s">
        <v>68</v>
      </c>
      <c r="O31" s="4"/>
    </row>
    <row r="32" spans="1:15" s="7" customFormat="1" ht="49.5" customHeight="1">
      <c r="A32" s="35">
        <f t="shared" si="1"/>
        <v>30</v>
      </c>
      <c r="B32" s="36" t="s">
        <v>93</v>
      </c>
      <c r="C32" s="36" t="s">
        <v>99</v>
      </c>
      <c r="D32" s="36" t="s">
        <v>100</v>
      </c>
      <c r="E32" s="37">
        <v>0</v>
      </c>
      <c r="F32" s="37">
        <v>0</v>
      </c>
      <c r="G32" s="37">
        <f t="shared" si="0"/>
        <v>0</v>
      </c>
      <c r="H32" s="66" t="s">
        <v>101</v>
      </c>
      <c r="I32" s="39">
        <v>12756.3</v>
      </c>
      <c r="J32" s="39">
        <v>12756.3</v>
      </c>
      <c r="K32" s="41">
        <v>40544</v>
      </c>
      <c r="L32" s="41">
        <v>40908</v>
      </c>
      <c r="M32" s="38" t="s">
        <v>26</v>
      </c>
      <c r="N32" s="42" t="s">
        <v>68</v>
      </c>
      <c r="O32" s="4"/>
    </row>
    <row r="33" spans="1:15" s="7" customFormat="1" ht="49.5" customHeight="1">
      <c r="A33" s="35">
        <f t="shared" si="1"/>
        <v>31</v>
      </c>
      <c r="B33" s="36" t="s">
        <v>93</v>
      </c>
      <c r="C33" s="36" t="s">
        <v>102</v>
      </c>
      <c r="D33" s="36" t="s">
        <v>103</v>
      </c>
      <c r="E33" s="37">
        <v>8077.13</v>
      </c>
      <c r="F33" s="37">
        <v>0</v>
      </c>
      <c r="G33" s="37">
        <f t="shared" si="0"/>
        <v>8077.13</v>
      </c>
      <c r="H33" s="66" t="s">
        <v>104</v>
      </c>
      <c r="I33" s="39">
        <v>10750</v>
      </c>
      <c r="J33" s="39">
        <v>0</v>
      </c>
      <c r="K33" s="41">
        <v>40070</v>
      </c>
      <c r="L33" s="41" t="s">
        <v>67</v>
      </c>
      <c r="M33" s="38" t="s">
        <v>26</v>
      </c>
      <c r="N33" s="42" t="s">
        <v>27</v>
      </c>
      <c r="O33" s="4"/>
    </row>
    <row r="34" spans="1:15" s="7" customFormat="1" ht="49.5" customHeight="1">
      <c r="A34" s="35">
        <f t="shared" si="1"/>
        <v>32</v>
      </c>
      <c r="B34" s="36" t="s">
        <v>93</v>
      </c>
      <c r="C34" s="36" t="s">
        <v>105</v>
      </c>
      <c r="D34" s="36" t="s">
        <v>106</v>
      </c>
      <c r="E34" s="47">
        <v>0</v>
      </c>
      <c r="F34" s="37">
        <v>0</v>
      </c>
      <c r="G34" s="37">
        <f t="shared" si="0"/>
        <v>0</v>
      </c>
      <c r="H34" s="66" t="s">
        <v>107</v>
      </c>
      <c r="I34" s="39">
        <v>1276275.58</v>
      </c>
      <c r="J34" s="39">
        <v>255255.12</v>
      </c>
      <c r="K34" s="41">
        <v>40725</v>
      </c>
      <c r="L34" s="41">
        <v>41274</v>
      </c>
      <c r="M34" s="38" t="s">
        <v>26</v>
      </c>
      <c r="N34" s="42" t="s">
        <v>27</v>
      </c>
      <c r="O34" s="4"/>
    </row>
    <row r="35" spans="1:15" s="7" customFormat="1" ht="49.5" customHeight="1">
      <c r="A35" s="35">
        <f t="shared" si="1"/>
        <v>33</v>
      </c>
      <c r="B35" s="36" t="s">
        <v>93</v>
      </c>
      <c r="C35" s="36" t="s">
        <v>105</v>
      </c>
      <c r="D35" s="36" t="s">
        <v>108</v>
      </c>
      <c r="E35" s="47">
        <v>0</v>
      </c>
      <c r="F35" s="37">
        <v>0</v>
      </c>
      <c r="G35" s="37">
        <f t="shared" si="0"/>
        <v>0</v>
      </c>
      <c r="H35" s="66" t="s">
        <v>109</v>
      </c>
      <c r="I35" s="39">
        <v>1316838.4</v>
      </c>
      <c r="J35" s="39">
        <v>263367.68</v>
      </c>
      <c r="K35" s="41">
        <v>40544</v>
      </c>
      <c r="L35" s="41">
        <v>41274</v>
      </c>
      <c r="M35" s="38" t="s">
        <v>26</v>
      </c>
      <c r="N35" s="42" t="s">
        <v>27</v>
      </c>
      <c r="O35" s="4"/>
    </row>
    <row r="36" spans="1:15" s="7" customFormat="1" ht="49.5" customHeight="1">
      <c r="A36" s="35">
        <f t="shared" si="1"/>
        <v>34</v>
      </c>
      <c r="B36" s="36" t="s">
        <v>93</v>
      </c>
      <c r="C36" s="36" t="s">
        <v>228</v>
      </c>
      <c r="D36" s="36" t="s">
        <v>229</v>
      </c>
      <c r="E36" s="47">
        <v>96359.9</v>
      </c>
      <c r="F36" s="37">
        <v>0</v>
      </c>
      <c r="G36" s="37">
        <f t="shared" si="0"/>
        <v>96359.9</v>
      </c>
      <c r="H36" s="66" t="s">
        <v>230</v>
      </c>
      <c r="I36" s="39">
        <v>481799.52</v>
      </c>
      <c r="J36" s="39">
        <v>0</v>
      </c>
      <c r="K36" s="41">
        <v>40725</v>
      </c>
      <c r="L36" s="41">
        <v>41274</v>
      </c>
      <c r="M36" s="38" t="s">
        <v>26</v>
      </c>
      <c r="N36" s="42" t="s">
        <v>27</v>
      </c>
      <c r="O36" s="4"/>
    </row>
    <row r="37" spans="1:15" s="7" customFormat="1" ht="49.5" customHeight="1">
      <c r="A37" s="35">
        <f t="shared" si="1"/>
        <v>35</v>
      </c>
      <c r="B37" s="36" t="s">
        <v>93</v>
      </c>
      <c r="C37" s="36" t="s">
        <v>110</v>
      </c>
      <c r="D37" s="36" t="s">
        <v>111</v>
      </c>
      <c r="E37" s="47">
        <v>214740</v>
      </c>
      <c r="F37" s="37">
        <v>0</v>
      </c>
      <c r="G37" s="37">
        <f t="shared" si="0"/>
        <v>214740</v>
      </c>
      <c r="H37" s="66" t="s">
        <v>112</v>
      </c>
      <c r="I37" s="39">
        <v>644220</v>
      </c>
      <c r="J37" s="39">
        <v>0</v>
      </c>
      <c r="K37" s="41">
        <v>40909</v>
      </c>
      <c r="L37" s="41">
        <v>41639</v>
      </c>
      <c r="M37" s="38" t="s">
        <v>113</v>
      </c>
      <c r="N37" s="42" t="s">
        <v>27</v>
      </c>
      <c r="O37" s="4"/>
    </row>
    <row r="38" spans="1:14" s="4" customFormat="1" ht="49.5" customHeight="1">
      <c r="A38" s="35">
        <f t="shared" si="1"/>
        <v>36</v>
      </c>
      <c r="B38" s="36" t="s">
        <v>114</v>
      </c>
      <c r="C38" s="36" t="s">
        <v>115</v>
      </c>
      <c r="D38" s="36" t="s">
        <v>116</v>
      </c>
      <c r="E38" s="37">
        <v>0</v>
      </c>
      <c r="F38" s="37">
        <v>0</v>
      </c>
      <c r="G38" s="37">
        <f t="shared" si="0"/>
        <v>0</v>
      </c>
      <c r="H38" s="66" t="s">
        <v>117</v>
      </c>
      <c r="I38" s="39">
        <v>120000</v>
      </c>
      <c r="J38" s="39">
        <v>120000</v>
      </c>
      <c r="K38" s="41">
        <v>39626</v>
      </c>
      <c r="L38" s="41">
        <v>40629</v>
      </c>
      <c r="M38" s="46" t="s">
        <v>26</v>
      </c>
      <c r="N38" s="42" t="s">
        <v>27</v>
      </c>
    </row>
    <row r="39" spans="1:14" s="4" customFormat="1" ht="49.5" customHeight="1">
      <c r="A39" s="35">
        <f>A38+1</f>
        <v>37</v>
      </c>
      <c r="B39" s="36" t="s">
        <v>118</v>
      </c>
      <c r="C39" s="36" t="s">
        <v>10</v>
      </c>
      <c r="D39" s="36" t="s">
        <v>119</v>
      </c>
      <c r="E39" s="37">
        <v>27319.22</v>
      </c>
      <c r="F39" s="37">
        <v>0</v>
      </c>
      <c r="G39" s="37">
        <f t="shared" si="0"/>
        <v>27319.22</v>
      </c>
      <c r="H39" s="66" t="s">
        <v>120</v>
      </c>
      <c r="I39" s="39">
        <v>50000</v>
      </c>
      <c r="J39" s="39">
        <v>27218.1</v>
      </c>
      <c r="K39" s="41">
        <v>40179</v>
      </c>
      <c r="L39" s="41" t="s">
        <v>67</v>
      </c>
      <c r="M39" s="38" t="s">
        <v>121</v>
      </c>
      <c r="N39" s="42" t="s">
        <v>27</v>
      </c>
    </row>
    <row r="40" spans="1:14" s="4" customFormat="1" ht="49.5" customHeight="1">
      <c r="A40" s="35">
        <f aca="true" t="shared" si="2" ref="A40:A86">A39+1</f>
        <v>38</v>
      </c>
      <c r="B40" s="36" t="s">
        <v>118</v>
      </c>
      <c r="C40" s="36" t="s">
        <v>10</v>
      </c>
      <c r="D40" s="36" t="s">
        <v>242</v>
      </c>
      <c r="E40" s="37">
        <f>6284.79+5879.32</f>
        <v>12164.11</v>
      </c>
      <c r="F40" s="37">
        <v>0</v>
      </c>
      <c r="G40" s="37">
        <f t="shared" si="0"/>
        <v>12164.11</v>
      </c>
      <c r="H40" s="66" t="s">
        <v>120</v>
      </c>
      <c r="I40" s="39">
        <v>50000</v>
      </c>
      <c r="J40" s="39">
        <v>27218.1</v>
      </c>
      <c r="K40" s="41">
        <v>40179</v>
      </c>
      <c r="L40" s="41" t="s">
        <v>67</v>
      </c>
      <c r="M40" s="38" t="s">
        <v>121</v>
      </c>
      <c r="N40" s="42" t="s">
        <v>27</v>
      </c>
    </row>
    <row r="41" spans="1:14" s="4" customFormat="1" ht="49.5" customHeight="1">
      <c r="A41" s="35">
        <f t="shared" si="2"/>
        <v>39</v>
      </c>
      <c r="B41" s="36" t="s">
        <v>118</v>
      </c>
      <c r="C41" s="36" t="s">
        <v>10</v>
      </c>
      <c r="D41" s="36" t="s">
        <v>122</v>
      </c>
      <c r="E41" s="37">
        <v>0</v>
      </c>
      <c r="F41" s="37">
        <v>0</v>
      </c>
      <c r="G41" s="37">
        <f t="shared" si="0"/>
        <v>0</v>
      </c>
      <c r="H41" s="66" t="s">
        <v>123</v>
      </c>
      <c r="I41" s="39">
        <v>2950</v>
      </c>
      <c r="J41" s="39">
        <v>2950</v>
      </c>
      <c r="K41" s="41">
        <v>40118</v>
      </c>
      <c r="L41" s="41" t="s">
        <v>67</v>
      </c>
      <c r="M41" s="38" t="s">
        <v>26</v>
      </c>
      <c r="N41" s="42" t="s">
        <v>27</v>
      </c>
    </row>
    <row r="42" spans="1:14" s="4" customFormat="1" ht="49.5" customHeight="1">
      <c r="A42" s="35">
        <f t="shared" si="2"/>
        <v>40</v>
      </c>
      <c r="B42" s="36" t="s">
        <v>118</v>
      </c>
      <c r="C42" s="36" t="s">
        <v>10</v>
      </c>
      <c r="D42" s="36" t="s">
        <v>124</v>
      </c>
      <c r="E42" s="37">
        <v>0</v>
      </c>
      <c r="F42" s="37">
        <v>0</v>
      </c>
      <c r="G42" s="37">
        <f t="shared" si="0"/>
        <v>0</v>
      </c>
      <c r="H42" s="66" t="s">
        <v>123</v>
      </c>
      <c r="I42" s="39">
        <v>900</v>
      </c>
      <c r="J42" s="39">
        <v>925</v>
      </c>
      <c r="K42" s="41">
        <v>40179</v>
      </c>
      <c r="L42" s="41" t="s">
        <v>67</v>
      </c>
      <c r="M42" s="38" t="s">
        <v>26</v>
      </c>
      <c r="N42" s="42" t="s">
        <v>27</v>
      </c>
    </row>
    <row r="43" spans="1:14" s="4" customFormat="1" ht="49.5" customHeight="1">
      <c r="A43" s="35">
        <f t="shared" si="2"/>
        <v>41</v>
      </c>
      <c r="B43" s="36" t="s">
        <v>118</v>
      </c>
      <c r="C43" s="36" t="s">
        <v>10</v>
      </c>
      <c r="D43" s="36" t="s">
        <v>125</v>
      </c>
      <c r="E43" s="37">
        <v>9000</v>
      </c>
      <c r="F43" s="37">
        <v>0</v>
      </c>
      <c r="G43" s="37">
        <f t="shared" si="0"/>
        <v>9000</v>
      </c>
      <c r="H43" s="66" t="s">
        <v>126</v>
      </c>
      <c r="I43" s="39">
        <v>108000</v>
      </c>
      <c r="J43" s="39">
        <v>99000</v>
      </c>
      <c r="K43" s="41">
        <v>40544</v>
      </c>
      <c r="L43" s="41" t="s">
        <v>67</v>
      </c>
      <c r="M43" s="38" t="s">
        <v>26</v>
      </c>
      <c r="N43" s="42" t="s">
        <v>27</v>
      </c>
    </row>
    <row r="44" spans="1:14" s="4" customFormat="1" ht="49.5" customHeight="1">
      <c r="A44" s="35">
        <f t="shared" si="2"/>
        <v>42</v>
      </c>
      <c r="B44" s="36" t="s">
        <v>118</v>
      </c>
      <c r="C44" s="36" t="s">
        <v>10</v>
      </c>
      <c r="D44" s="36" t="s">
        <v>243</v>
      </c>
      <c r="E44" s="37">
        <f>9000+9000</f>
        <v>18000</v>
      </c>
      <c r="F44" s="37">
        <v>0</v>
      </c>
      <c r="G44" s="37">
        <f t="shared" si="0"/>
        <v>18000</v>
      </c>
      <c r="H44" s="66" t="s">
        <v>126</v>
      </c>
      <c r="I44" s="39">
        <v>108000</v>
      </c>
      <c r="J44" s="39">
        <v>0</v>
      </c>
      <c r="K44" s="41">
        <v>40544</v>
      </c>
      <c r="L44" s="41" t="s">
        <v>67</v>
      </c>
      <c r="M44" s="38" t="s">
        <v>26</v>
      </c>
      <c r="N44" s="42" t="s">
        <v>27</v>
      </c>
    </row>
    <row r="45" spans="1:14" s="4" customFormat="1" ht="49.5" customHeight="1">
      <c r="A45" s="35">
        <f t="shared" si="2"/>
        <v>43</v>
      </c>
      <c r="B45" s="36" t="s">
        <v>118</v>
      </c>
      <c r="C45" s="36" t="s">
        <v>10</v>
      </c>
      <c r="D45" s="36" t="s">
        <v>127</v>
      </c>
      <c r="E45" s="37">
        <v>0</v>
      </c>
      <c r="F45" s="37">
        <v>0</v>
      </c>
      <c r="G45" s="37">
        <f t="shared" si="0"/>
        <v>0</v>
      </c>
      <c r="H45" s="66" t="s">
        <v>128</v>
      </c>
      <c r="I45" s="39">
        <v>6000</v>
      </c>
      <c r="J45" s="39">
        <v>6000</v>
      </c>
      <c r="K45" s="41">
        <v>39814</v>
      </c>
      <c r="L45" s="41" t="s">
        <v>67</v>
      </c>
      <c r="M45" s="38" t="s">
        <v>26</v>
      </c>
      <c r="N45" s="42" t="s">
        <v>27</v>
      </c>
    </row>
    <row r="46" spans="1:14" s="4" customFormat="1" ht="49.5" customHeight="1">
      <c r="A46" s="35">
        <f t="shared" si="2"/>
        <v>44</v>
      </c>
      <c r="B46" s="36" t="s">
        <v>118</v>
      </c>
      <c r="C46" s="36" t="s">
        <v>10</v>
      </c>
      <c r="D46" s="36" t="s">
        <v>244</v>
      </c>
      <c r="E46" s="37">
        <v>8793</v>
      </c>
      <c r="F46" s="37">
        <v>0</v>
      </c>
      <c r="G46" s="37">
        <f t="shared" si="0"/>
        <v>8793</v>
      </c>
      <c r="H46" s="66" t="s">
        <v>130</v>
      </c>
      <c r="I46" s="39">
        <v>60300</v>
      </c>
      <c r="J46" s="39">
        <v>50561.25</v>
      </c>
      <c r="K46" s="41" t="s">
        <v>131</v>
      </c>
      <c r="L46" s="41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2"/>
        <v>45</v>
      </c>
      <c r="B47" s="36" t="s">
        <v>118</v>
      </c>
      <c r="C47" s="36" t="s">
        <v>10</v>
      </c>
      <c r="D47" s="36" t="s">
        <v>245</v>
      </c>
      <c r="E47" s="37">
        <f>5025+5025</f>
        <v>10050</v>
      </c>
      <c r="F47" s="37">
        <v>0</v>
      </c>
      <c r="G47" s="37">
        <f t="shared" si="0"/>
        <v>10050</v>
      </c>
      <c r="H47" s="66" t="s">
        <v>130</v>
      </c>
      <c r="I47" s="39">
        <v>60300</v>
      </c>
      <c r="J47" s="39">
        <v>0</v>
      </c>
      <c r="K47" s="41" t="s">
        <v>131</v>
      </c>
      <c r="L47" s="41" t="s">
        <v>67</v>
      </c>
      <c r="M47" s="38" t="s">
        <v>26</v>
      </c>
      <c r="N47" s="42" t="s">
        <v>27</v>
      </c>
    </row>
    <row r="48" spans="1:14" s="4" customFormat="1" ht="49.5" customHeight="1">
      <c r="A48" s="35">
        <f t="shared" si="2"/>
        <v>46</v>
      </c>
      <c r="B48" s="36" t="s">
        <v>118</v>
      </c>
      <c r="C48" s="36" t="s">
        <v>10</v>
      </c>
      <c r="D48" s="36" t="s">
        <v>132</v>
      </c>
      <c r="E48" s="37">
        <f>1000</f>
        <v>1000</v>
      </c>
      <c r="F48" s="37">
        <v>0</v>
      </c>
      <c r="G48" s="37">
        <f t="shared" si="0"/>
        <v>1000</v>
      </c>
      <c r="H48" s="66" t="s">
        <v>133</v>
      </c>
      <c r="I48" s="39">
        <v>12000</v>
      </c>
      <c r="J48" s="39">
        <v>11000</v>
      </c>
      <c r="K48" s="41">
        <v>40544</v>
      </c>
      <c r="L48" s="41" t="s">
        <v>67</v>
      </c>
      <c r="M48" s="38" t="s">
        <v>26</v>
      </c>
      <c r="N48" s="42" t="s">
        <v>27</v>
      </c>
    </row>
    <row r="49" spans="1:14" s="4" customFormat="1" ht="49.5" customHeight="1">
      <c r="A49" s="35">
        <f t="shared" si="2"/>
        <v>47</v>
      </c>
      <c r="B49" s="36" t="s">
        <v>118</v>
      </c>
      <c r="C49" s="36" t="s">
        <v>10</v>
      </c>
      <c r="D49" s="36" t="s">
        <v>246</v>
      </c>
      <c r="E49" s="37">
        <f>1000+1000</f>
        <v>2000</v>
      </c>
      <c r="F49" s="37">
        <v>0</v>
      </c>
      <c r="G49" s="37">
        <f t="shared" si="0"/>
        <v>2000</v>
      </c>
      <c r="H49" s="66" t="s">
        <v>133</v>
      </c>
      <c r="I49" s="39">
        <v>12000</v>
      </c>
      <c r="J49" s="39">
        <v>0</v>
      </c>
      <c r="K49" s="41">
        <v>40544</v>
      </c>
      <c r="L49" s="41" t="s">
        <v>67</v>
      </c>
      <c r="M49" s="38" t="s">
        <v>26</v>
      </c>
      <c r="N49" s="42" t="s">
        <v>27</v>
      </c>
    </row>
    <row r="50" spans="1:14" s="4" customFormat="1" ht="49.5" customHeight="1">
      <c r="A50" s="35">
        <f t="shared" si="2"/>
        <v>48</v>
      </c>
      <c r="B50" s="36" t="s">
        <v>118</v>
      </c>
      <c r="C50" s="36" t="s">
        <v>15</v>
      </c>
      <c r="D50" s="36" t="s">
        <v>134</v>
      </c>
      <c r="E50" s="37">
        <f>9000+9000</f>
        <v>18000</v>
      </c>
      <c r="F50" s="37">
        <v>0</v>
      </c>
      <c r="G50" s="37">
        <f t="shared" si="0"/>
        <v>18000</v>
      </c>
      <c r="H50" s="66" t="s">
        <v>135</v>
      </c>
      <c r="I50" s="39">
        <v>108000</v>
      </c>
      <c r="J50" s="39">
        <v>0</v>
      </c>
      <c r="K50" s="41">
        <v>40544</v>
      </c>
      <c r="L50" s="41" t="s">
        <v>67</v>
      </c>
      <c r="M50" s="38" t="s">
        <v>26</v>
      </c>
      <c r="N50" s="42" t="s">
        <v>27</v>
      </c>
    </row>
    <row r="51" spans="1:14" s="4" customFormat="1" ht="49.5" customHeight="1">
      <c r="A51" s="35">
        <f t="shared" si="2"/>
        <v>49</v>
      </c>
      <c r="B51" s="36" t="s">
        <v>118</v>
      </c>
      <c r="C51" s="36" t="s">
        <v>15</v>
      </c>
      <c r="D51" s="36" t="s">
        <v>247</v>
      </c>
      <c r="E51" s="37">
        <f>12500+14700</f>
        <v>27200</v>
      </c>
      <c r="F51" s="37">
        <v>0</v>
      </c>
      <c r="G51" s="37">
        <f t="shared" si="0"/>
        <v>27200</v>
      </c>
      <c r="H51" s="66" t="s">
        <v>137</v>
      </c>
      <c r="I51" s="39">
        <f>12500*12</f>
        <v>150000</v>
      </c>
      <c r="J51" s="39">
        <v>0</v>
      </c>
      <c r="K51" s="41">
        <v>40544</v>
      </c>
      <c r="L51" s="41" t="s">
        <v>67</v>
      </c>
      <c r="M51" s="38" t="s">
        <v>26</v>
      </c>
      <c r="N51" s="42" t="s">
        <v>27</v>
      </c>
    </row>
    <row r="52" spans="1:14" s="4" customFormat="1" ht="49.5" customHeight="1">
      <c r="A52" s="35">
        <f t="shared" si="2"/>
        <v>50</v>
      </c>
      <c r="B52" s="36" t="s">
        <v>118</v>
      </c>
      <c r="C52" s="36" t="s">
        <v>15</v>
      </c>
      <c r="D52" s="36" t="s">
        <v>136</v>
      </c>
      <c r="E52" s="37">
        <v>10300</v>
      </c>
      <c r="F52" s="37">
        <v>0</v>
      </c>
      <c r="G52" s="37">
        <f t="shared" si="0"/>
        <v>10300</v>
      </c>
      <c r="H52" s="66" t="s">
        <v>137</v>
      </c>
      <c r="I52" s="39">
        <f>10300*12</f>
        <v>123600</v>
      </c>
      <c r="J52" s="39">
        <v>113300</v>
      </c>
      <c r="K52" s="41">
        <v>40544</v>
      </c>
      <c r="L52" s="41" t="s">
        <v>67</v>
      </c>
      <c r="M52" s="38" t="s">
        <v>26</v>
      </c>
      <c r="N52" s="42" t="s">
        <v>27</v>
      </c>
    </row>
    <row r="53" spans="1:14" s="4" customFormat="1" ht="49.5" customHeight="1">
      <c r="A53" s="35">
        <f t="shared" si="2"/>
        <v>51</v>
      </c>
      <c r="B53" s="36" t="s">
        <v>118</v>
      </c>
      <c r="C53" s="36" t="s">
        <v>15</v>
      </c>
      <c r="D53" s="36" t="s">
        <v>138</v>
      </c>
      <c r="E53" s="37">
        <v>2200</v>
      </c>
      <c r="F53" s="37">
        <v>0</v>
      </c>
      <c r="G53" s="37">
        <f t="shared" si="0"/>
        <v>2200</v>
      </c>
      <c r="H53" s="66" t="s">
        <v>139</v>
      </c>
      <c r="I53" s="39">
        <v>26400</v>
      </c>
      <c r="J53" s="39">
        <f>11*2200</f>
        <v>24200</v>
      </c>
      <c r="K53" s="41">
        <v>40544</v>
      </c>
      <c r="L53" s="41" t="s">
        <v>67</v>
      </c>
      <c r="M53" s="38" t="s">
        <v>26</v>
      </c>
      <c r="N53" s="42" t="s">
        <v>27</v>
      </c>
    </row>
    <row r="54" spans="1:14" s="4" customFormat="1" ht="49.5" customHeight="1">
      <c r="A54" s="35">
        <f t="shared" si="2"/>
        <v>52</v>
      </c>
      <c r="B54" s="36" t="s">
        <v>118</v>
      </c>
      <c r="C54" s="36" t="s">
        <v>15</v>
      </c>
      <c r="D54" s="36" t="s">
        <v>140</v>
      </c>
      <c r="E54" s="37">
        <f>2835</f>
        <v>2835</v>
      </c>
      <c r="F54" s="37">
        <v>0</v>
      </c>
      <c r="G54" s="37">
        <f t="shared" si="0"/>
        <v>2835</v>
      </c>
      <c r="H54" s="66" t="s">
        <v>141</v>
      </c>
      <c r="I54" s="39">
        <v>34020</v>
      </c>
      <c r="J54" s="39">
        <f>11*2835</f>
        <v>31185</v>
      </c>
      <c r="K54" s="41">
        <v>40544</v>
      </c>
      <c r="L54" s="41" t="s">
        <v>67</v>
      </c>
      <c r="M54" s="38" t="s">
        <v>26</v>
      </c>
      <c r="N54" s="42" t="s">
        <v>27</v>
      </c>
    </row>
    <row r="55" spans="1:14" s="4" customFormat="1" ht="49.5" customHeight="1">
      <c r="A55" s="35">
        <f t="shared" si="2"/>
        <v>53</v>
      </c>
      <c r="B55" s="36" t="s">
        <v>118</v>
      </c>
      <c r="C55" s="36" t="s">
        <v>15</v>
      </c>
      <c r="D55" s="36" t="s">
        <v>248</v>
      </c>
      <c r="E55" s="37">
        <f>2835+2835</f>
        <v>5670</v>
      </c>
      <c r="F55" s="37">
        <v>0</v>
      </c>
      <c r="G55" s="37">
        <f t="shared" si="0"/>
        <v>5670</v>
      </c>
      <c r="H55" s="66" t="s">
        <v>141</v>
      </c>
      <c r="I55" s="39">
        <v>34020</v>
      </c>
      <c r="J55" s="39">
        <v>0</v>
      </c>
      <c r="K55" s="41">
        <v>40544</v>
      </c>
      <c r="L55" s="41" t="s">
        <v>67</v>
      </c>
      <c r="M55" s="38" t="s">
        <v>26</v>
      </c>
      <c r="N55" s="42" t="s">
        <v>27</v>
      </c>
    </row>
    <row r="56" spans="1:14" s="4" customFormat="1" ht="49.5" customHeight="1">
      <c r="A56" s="35">
        <f t="shared" si="2"/>
        <v>54</v>
      </c>
      <c r="B56" s="36" t="s">
        <v>118</v>
      </c>
      <c r="C56" s="36" t="s">
        <v>15</v>
      </c>
      <c r="D56" s="36" t="s">
        <v>234</v>
      </c>
      <c r="E56" s="37">
        <v>0</v>
      </c>
      <c r="F56" s="37">
        <v>0</v>
      </c>
      <c r="G56" s="37">
        <f t="shared" si="0"/>
        <v>0</v>
      </c>
      <c r="H56" s="66" t="s">
        <v>143</v>
      </c>
      <c r="I56" s="39">
        <v>12000</v>
      </c>
      <c r="J56" s="39">
        <v>1000</v>
      </c>
      <c r="K56" s="41">
        <v>40544</v>
      </c>
      <c r="L56" s="41" t="s">
        <v>67</v>
      </c>
      <c r="M56" s="38" t="s">
        <v>26</v>
      </c>
      <c r="N56" s="42" t="s">
        <v>27</v>
      </c>
    </row>
    <row r="57" spans="1:14" s="4" customFormat="1" ht="49.5" customHeight="1">
      <c r="A57" s="35">
        <f t="shared" si="2"/>
        <v>55</v>
      </c>
      <c r="B57" s="36" t="s">
        <v>118</v>
      </c>
      <c r="C57" s="36" t="s">
        <v>10</v>
      </c>
      <c r="D57" s="36" t="s">
        <v>144</v>
      </c>
      <c r="E57" s="37">
        <f>1903.88</f>
        <v>1903.88</v>
      </c>
      <c r="F57" s="37">
        <v>0</v>
      </c>
      <c r="G57" s="37">
        <f t="shared" si="0"/>
        <v>1903.88</v>
      </c>
      <c r="H57" s="66" t="s">
        <v>145</v>
      </c>
      <c r="I57" s="39">
        <v>11450</v>
      </c>
      <c r="J57" s="39">
        <v>0</v>
      </c>
      <c r="K57" s="41">
        <v>40544</v>
      </c>
      <c r="L57" s="41" t="s">
        <v>67</v>
      </c>
      <c r="M57" s="38" t="s">
        <v>26</v>
      </c>
      <c r="N57" s="42" t="s">
        <v>27</v>
      </c>
    </row>
    <row r="58" spans="1:14" s="4" customFormat="1" ht="49.5" customHeight="1">
      <c r="A58" s="35">
        <f t="shared" si="2"/>
        <v>56</v>
      </c>
      <c r="B58" s="36" t="s">
        <v>118</v>
      </c>
      <c r="C58" s="36" t="s">
        <v>10</v>
      </c>
      <c r="D58" s="36" t="s">
        <v>249</v>
      </c>
      <c r="E58" s="37">
        <f>1113.57+1113.57</f>
        <v>2227.14</v>
      </c>
      <c r="F58" s="37">
        <v>0</v>
      </c>
      <c r="G58" s="37">
        <f t="shared" si="0"/>
        <v>2227.14</v>
      </c>
      <c r="H58" s="66" t="s">
        <v>145</v>
      </c>
      <c r="I58" s="39">
        <v>11450</v>
      </c>
      <c r="J58" s="39">
        <v>0</v>
      </c>
      <c r="K58" s="41">
        <v>40544</v>
      </c>
      <c r="L58" s="41" t="s">
        <v>67</v>
      </c>
      <c r="M58" s="38" t="s">
        <v>26</v>
      </c>
      <c r="N58" s="42" t="s">
        <v>27</v>
      </c>
    </row>
    <row r="59" spans="1:14" s="4" customFormat="1" ht="49.5" customHeight="1">
      <c r="A59" s="35">
        <f t="shared" si="2"/>
        <v>57</v>
      </c>
      <c r="B59" s="36" t="s">
        <v>118</v>
      </c>
      <c r="C59" s="36" t="s">
        <v>146</v>
      </c>
      <c r="D59" s="36" t="s">
        <v>147</v>
      </c>
      <c r="E59" s="37">
        <v>0</v>
      </c>
      <c r="F59" s="37">
        <v>0</v>
      </c>
      <c r="G59" s="37">
        <f t="shared" si="0"/>
        <v>0</v>
      </c>
      <c r="H59" s="66" t="s">
        <v>148</v>
      </c>
      <c r="I59" s="39">
        <v>480000</v>
      </c>
      <c r="J59" s="39">
        <v>480000</v>
      </c>
      <c r="K59" s="41">
        <v>40141</v>
      </c>
      <c r="L59" s="41">
        <v>41049</v>
      </c>
      <c r="M59" s="38" t="s">
        <v>26</v>
      </c>
      <c r="N59" s="42" t="s">
        <v>27</v>
      </c>
    </row>
    <row r="60" spans="1:14" s="4" customFormat="1" ht="49.5" customHeight="1">
      <c r="A60" s="35">
        <f t="shared" si="2"/>
        <v>58</v>
      </c>
      <c r="B60" s="36" t="s">
        <v>149</v>
      </c>
      <c r="C60" s="36" t="s">
        <v>150</v>
      </c>
      <c r="D60" s="36" t="s">
        <v>151</v>
      </c>
      <c r="E60" s="37">
        <v>0</v>
      </c>
      <c r="F60" s="37">
        <v>0</v>
      </c>
      <c r="G60" s="37">
        <f t="shared" si="0"/>
        <v>0</v>
      </c>
      <c r="H60" s="66" t="s">
        <v>152</v>
      </c>
      <c r="I60" s="39">
        <v>1800000</v>
      </c>
      <c r="J60" s="39">
        <v>1080000</v>
      </c>
      <c r="K60" s="41">
        <v>40638</v>
      </c>
      <c r="L60" s="41">
        <v>41002</v>
      </c>
      <c r="M60" s="38" t="s">
        <v>26</v>
      </c>
      <c r="N60" s="42" t="s">
        <v>68</v>
      </c>
    </row>
    <row r="61" spans="1:14" s="4" customFormat="1" ht="49.5" customHeight="1">
      <c r="A61" s="35">
        <f t="shared" si="2"/>
        <v>59</v>
      </c>
      <c r="B61" s="36" t="s">
        <v>153</v>
      </c>
      <c r="C61" s="36" t="s">
        <v>154</v>
      </c>
      <c r="D61" s="36" t="s">
        <v>155</v>
      </c>
      <c r="E61" s="37">
        <v>0</v>
      </c>
      <c r="F61" s="37">
        <v>0</v>
      </c>
      <c r="G61" s="37">
        <f t="shared" si="0"/>
        <v>0</v>
      </c>
      <c r="H61" s="66" t="s">
        <v>156</v>
      </c>
      <c r="I61" s="39">
        <v>5860725</v>
      </c>
      <c r="J61" s="39">
        <v>5860725</v>
      </c>
      <c r="K61" s="41">
        <v>38884</v>
      </c>
      <c r="L61" s="41">
        <v>40451</v>
      </c>
      <c r="M61" s="38" t="s">
        <v>26</v>
      </c>
      <c r="N61" s="42" t="s">
        <v>27</v>
      </c>
    </row>
    <row r="62" spans="1:14" s="4" customFormat="1" ht="49.5" customHeight="1">
      <c r="A62" s="35">
        <f t="shared" si="2"/>
        <v>60</v>
      </c>
      <c r="B62" s="36" t="s">
        <v>153</v>
      </c>
      <c r="C62" s="36" t="s">
        <v>154</v>
      </c>
      <c r="D62" s="36" t="s">
        <v>157</v>
      </c>
      <c r="E62" s="37">
        <f>723449.59+353122.79</f>
        <v>1076572.38</v>
      </c>
      <c r="F62" s="37">
        <v>0</v>
      </c>
      <c r="G62" s="37">
        <f t="shared" si="0"/>
        <v>1076572.38</v>
      </c>
      <c r="H62" s="66" t="s">
        <v>158</v>
      </c>
      <c r="I62" s="39">
        <v>4900000</v>
      </c>
      <c r="J62" s="39">
        <f>571422.36+2000142.18</f>
        <v>2571564.54</v>
      </c>
      <c r="K62" s="41">
        <v>39447</v>
      </c>
      <c r="L62" s="41">
        <v>40482</v>
      </c>
      <c r="M62" s="38" t="s">
        <v>159</v>
      </c>
      <c r="N62" s="42" t="s">
        <v>27</v>
      </c>
    </row>
    <row r="63" spans="1:14" s="4" customFormat="1" ht="49.5" customHeight="1">
      <c r="A63" s="35">
        <f t="shared" si="2"/>
        <v>61</v>
      </c>
      <c r="B63" s="36" t="s">
        <v>153</v>
      </c>
      <c r="C63" s="36" t="s">
        <v>154</v>
      </c>
      <c r="D63" s="36" t="s">
        <v>160</v>
      </c>
      <c r="E63" s="37">
        <v>0</v>
      </c>
      <c r="F63" s="37">
        <v>0</v>
      </c>
      <c r="G63" s="37">
        <f t="shared" si="0"/>
        <v>0</v>
      </c>
      <c r="H63" s="66" t="s">
        <v>161</v>
      </c>
      <c r="I63" s="39">
        <v>8195570</v>
      </c>
      <c r="J63" s="39">
        <f>827000+110901.25+287371.7</f>
        <v>1225272.95</v>
      </c>
      <c r="K63" s="41">
        <v>39447</v>
      </c>
      <c r="L63" s="41">
        <v>40471</v>
      </c>
      <c r="M63" s="38" t="s">
        <v>159</v>
      </c>
      <c r="N63" s="42" t="s">
        <v>27</v>
      </c>
    </row>
    <row r="64" spans="1:14" s="4" customFormat="1" ht="49.5" customHeight="1">
      <c r="A64" s="35">
        <f t="shared" si="2"/>
        <v>62</v>
      </c>
      <c r="B64" s="36" t="s">
        <v>153</v>
      </c>
      <c r="C64" s="36" t="s">
        <v>162</v>
      </c>
      <c r="D64" s="36" t="s">
        <v>163</v>
      </c>
      <c r="E64" s="37">
        <v>0</v>
      </c>
      <c r="F64" s="37">
        <v>0</v>
      </c>
      <c r="G64" s="37">
        <f t="shared" si="0"/>
        <v>0</v>
      </c>
      <c r="H64" s="66" t="s">
        <v>164</v>
      </c>
      <c r="I64" s="39">
        <v>394200</v>
      </c>
      <c r="J64" s="39">
        <v>394200</v>
      </c>
      <c r="K64" s="41">
        <v>40528</v>
      </c>
      <c r="L64" s="41">
        <v>41455</v>
      </c>
      <c r="M64" s="38" t="s">
        <v>26</v>
      </c>
      <c r="N64" s="42" t="s">
        <v>27</v>
      </c>
    </row>
    <row r="65" spans="1:14" s="4" customFormat="1" ht="49.5" customHeight="1">
      <c r="A65" s="35">
        <f t="shared" si="2"/>
        <v>63</v>
      </c>
      <c r="B65" s="36" t="s">
        <v>153</v>
      </c>
      <c r="C65" s="36" t="s">
        <v>162</v>
      </c>
      <c r="D65" s="36" t="s">
        <v>165</v>
      </c>
      <c r="E65" s="37">
        <v>57311.33</v>
      </c>
      <c r="F65" s="37">
        <v>0</v>
      </c>
      <c r="G65" s="37">
        <f t="shared" si="0"/>
        <v>57311.33</v>
      </c>
      <c r="H65" s="66" t="s">
        <v>166</v>
      </c>
      <c r="I65" s="39">
        <v>255740</v>
      </c>
      <c r="J65" s="39">
        <v>86491.27</v>
      </c>
      <c r="K65" s="41">
        <v>40528</v>
      </c>
      <c r="L65" s="41">
        <v>41455</v>
      </c>
      <c r="M65" s="38" t="s">
        <v>26</v>
      </c>
      <c r="N65" s="42" t="s">
        <v>27</v>
      </c>
    </row>
    <row r="66" spans="1:14" s="4" customFormat="1" ht="49.5" customHeight="1">
      <c r="A66" s="35">
        <f t="shared" si="2"/>
        <v>64</v>
      </c>
      <c r="B66" s="36" t="s">
        <v>153</v>
      </c>
      <c r="C66" s="36" t="s">
        <v>162</v>
      </c>
      <c r="D66" s="36" t="s">
        <v>167</v>
      </c>
      <c r="E66" s="37">
        <v>0</v>
      </c>
      <c r="F66" s="37">
        <v>0</v>
      </c>
      <c r="G66" s="37">
        <f t="shared" si="0"/>
        <v>0</v>
      </c>
      <c r="H66" s="66" t="s">
        <v>168</v>
      </c>
      <c r="I66" s="39">
        <v>295300</v>
      </c>
      <c r="J66" s="39">
        <v>103414.06</v>
      </c>
      <c r="K66" s="41">
        <v>40528</v>
      </c>
      <c r="L66" s="41">
        <v>41455</v>
      </c>
      <c r="M66" s="38" t="s">
        <v>26</v>
      </c>
      <c r="N66" s="42" t="s">
        <v>27</v>
      </c>
    </row>
    <row r="67" spans="1:14" s="4" customFormat="1" ht="49.5" customHeight="1">
      <c r="A67" s="35">
        <f t="shared" si="2"/>
        <v>65</v>
      </c>
      <c r="B67" s="36" t="s">
        <v>153</v>
      </c>
      <c r="C67" s="36" t="s">
        <v>162</v>
      </c>
      <c r="D67" s="36" t="s">
        <v>169</v>
      </c>
      <c r="E67" s="37">
        <v>0</v>
      </c>
      <c r="F67" s="37">
        <v>0</v>
      </c>
      <c r="G67" s="37">
        <f aca="true" t="shared" si="3" ref="G67:G86">E67+F67</f>
        <v>0</v>
      </c>
      <c r="H67" s="66" t="s">
        <v>170</v>
      </c>
      <c r="I67" s="39">
        <v>245850</v>
      </c>
      <c r="J67" s="39">
        <v>85383.7</v>
      </c>
      <c r="K67" s="41">
        <v>40528</v>
      </c>
      <c r="L67" s="41">
        <v>41455</v>
      </c>
      <c r="M67" s="38" t="s">
        <v>26</v>
      </c>
      <c r="N67" s="42" t="s">
        <v>27</v>
      </c>
    </row>
    <row r="68" spans="1:14" s="4" customFormat="1" ht="49.5" customHeight="1">
      <c r="A68" s="35">
        <f t="shared" si="2"/>
        <v>66</v>
      </c>
      <c r="B68" s="36" t="s">
        <v>171</v>
      </c>
      <c r="C68" s="36" t="s">
        <v>172</v>
      </c>
      <c r="D68" s="36" t="s">
        <v>173</v>
      </c>
      <c r="E68" s="37">
        <v>0</v>
      </c>
      <c r="F68" s="37">
        <v>0</v>
      </c>
      <c r="G68" s="37">
        <f t="shared" si="3"/>
        <v>0</v>
      </c>
      <c r="H68" s="66" t="s">
        <v>174</v>
      </c>
      <c r="I68" s="39">
        <v>97500</v>
      </c>
      <c r="J68" s="39">
        <v>48750</v>
      </c>
      <c r="K68" s="41">
        <v>40057</v>
      </c>
      <c r="L68" s="41">
        <v>40452</v>
      </c>
      <c r="M68" s="38" t="s">
        <v>26</v>
      </c>
      <c r="N68" s="42" t="s">
        <v>27</v>
      </c>
    </row>
    <row r="69" spans="1:14" s="4" customFormat="1" ht="49.5" customHeight="1">
      <c r="A69" s="35">
        <f t="shared" si="2"/>
        <v>67</v>
      </c>
      <c r="B69" s="36" t="s">
        <v>175</v>
      </c>
      <c r="C69" s="36" t="s">
        <v>176</v>
      </c>
      <c r="D69" s="36" t="s">
        <v>177</v>
      </c>
      <c r="E69" s="37">
        <v>0</v>
      </c>
      <c r="F69" s="37">
        <v>0</v>
      </c>
      <c r="G69" s="37">
        <f t="shared" si="3"/>
        <v>0</v>
      </c>
      <c r="H69" s="66" t="s">
        <v>178</v>
      </c>
      <c r="I69" s="39">
        <v>146250</v>
      </c>
      <c r="J69" s="39">
        <v>146250</v>
      </c>
      <c r="K69" s="41">
        <v>39812</v>
      </c>
      <c r="L69" s="41">
        <v>40663</v>
      </c>
      <c r="M69" s="38" t="s">
        <v>26</v>
      </c>
      <c r="N69" s="42" t="s">
        <v>27</v>
      </c>
    </row>
    <row r="70" spans="1:14" s="4" customFormat="1" ht="49.5" customHeight="1">
      <c r="A70" s="35">
        <f t="shared" si="2"/>
        <v>68</v>
      </c>
      <c r="B70" s="36" t="s">
        <v>175</v>
      </c>
      <c r="C70" s="36" t="s">
        <v>176</v>
      </c>
      <c r="D70" s="36" t="s">
        <v>179</v>
      </c>
      <c r="E70" s="37">
        <v>0</v>
      </c>
      <c r="F70" s="37">
        <v>0</v>
      </c>
      <c r="G70" s="37">
        <f t="shared" si="3"/>
        <v>0</v>
      </c>
      <c r="H70" s="66" t="s">
        <v>180</v>
      </c>
      <c r="I70" s="39">
        <v>254104.34</v>
      </c>
      <c r="J70" s="39">
        <v>254104.34</v>
      </c>
      <c r="K70" s="41">
        <v>40361</v>
      </c>
      <c r="L70" s="41">
        <v>40723</v>
      </c>
      <c r="M70" s="38" t="s">
        <v>26</v>
      </c>
      <c r="N70" s="42" t="s">
        <v>27</v>
      </c>
    </row>
    <row r="71" spans="1:14" s="4" customFormat="1" ht="49.5" customHeight="1">
      <c r="A71" s="35">
        <f t="shared" si="2"/>
        <v>69</v>
      </c>
      <c r="B71" s="36" t="s">
        <v>181</v>
      </c>
      <c r="C71" s="36" t="s">
        <v>182</v>
      </c>
      <c r="D71" s="36" t="s">
        <v>236</v>
      </c>
      <c r="E71" s="37">
        <v>0</v>
      </c>
      <c r="F71" s="37">
        <v>0</v>
      </c>
      <c r="G71" s="37">
        <f t="shared" si="3"/>
        <v>0</v>
      </c>
      <c r="H71" s="66" t="s">
        <v>184</v>
      </c>
      <c r="I71" s="39">
        <v>72000</v>
      </c>
      <c r="J71" s="39">
        <v>71997.99</v>
      </c>
      <c r="K71" s="41">
        <v>40544</v>
      </c>
      <c r="L71" s="41" t="s">
        <v>67</v>
      </c>
      <c r="M71" s="38" t="s">
        <v>26</v>
      </c>
      <c r="N71" s="42" t="s">
        <v>27</v>
      </c>
    </row>
    <row r="72" spans="1:14" s="4" customFormat="1" ht="49.5" customHeight="1">
      <c r="A72" s="35">
        <f t="shared" si="2"/>
        <v>70</v>
      </c>
      <c r="B72" s="36" t="s">
        <v>181</v>
      </c>
      <c r="C72" s="36" t="s">
        <v>185</v>
      </c>
      <c r="D72" s="36" t="s">
        <v>237</v>
      </c>
      <c r="E72" s="37">
        <v>25000</v>
      </c>
      <c r="F72" s="37">
        <v>0</v>
      </c>
      <c r="G72" s="37">
        <f t="shared" si="3"/>
        <v>25000</v>
      </c>
      <c r="H72" s="66" t="s">
        <v>187</v>
      </c>
      <c r="I72" s="39">
        <v>105000</v>
      </c>
      <c r="J72" s="39">
        <v>82954.57</v>
      </c>
      <c r="K72" s="41">
        <v>40544</v>
      </c>
      <c r="L72" s="41" t="s">
        <v>67</v>
      </c>
      <c r="M72" s="38" t="s">
        <v>26</v>
      </c>
      <c r="N72" s="42" t="s">
        <v>27</v>
      </c>
    </row>
    <row r="73" spans="1:14" s="4" customFormat="1" ht="49.5" customHeight="1">
      <c r="A73" s="35">
        <f t="shared" si="2"/>
        <v>71</v>
      </c>
      <c r="B73" s="36" t="s">
        <v>181</v>
      </c>
      <c r="C73" s="36" t="s">
        <v>188</v>
      </c>
      <c r="D73" s="36" t="s">
        <v>189</v>
      </c>
      <c r="E73" s="37">
        <v>500000</v>
      </c>
      <c r="F73" s="37">
        <v>0</v>
      </c>
      <c r="G73" s="37">
        <f t="shared" si="3"/>
        <v>500000</v>
      </c>
      <c r="H73" s="66" t="s">
        <v>190</v>
      </c>
      <c r="I73" s="39">
        <v>2000000</v>
      </c>
      <c r="J73" s="39">
        <f>200000+1300000</f>
        <v>1500000</v>
      </c>
      <c r="K73" s="41">
        <v>40057</v>
      </c>
      <c r="L73" s="41" t="s">
        <v>67</v>
      </c>
      <c r="M73" s="38" t="s">
        <v>26</v>
      </c>
      <c r="N73" s="42" t="s">
        <v>27</v>
      </c>
    </row>
    <row r="74" spans="1:14" s="4" customFormat="1" ht="49.5" customHeight="1">
      <c r="A74" s="35">
        <f t="shared" si="2"/>
        <v>72</v>
      </c>
      <c r="B74" s="36" t="s">
        <v>181</v>
      </c>
      <c r="C74" s="36" t="s">
        <v>191</v>
      </c>
      <c r="D74" s="36" t="s">
        <v>250</v>
      </c>
      <c r="E74" s="37">
        <f>8800+17600+8800</f>
        <v>35200</v>
      </c>
      <c r="F74" s="37">
        <v>0</v>
      </c>
      <c r="G74" s="37">
        <f t="shared" si="3"/>
        <v>35200</v>
      </c>
      <c r="H74" s="66" t="s">
        <v>193</v>
      </c>
      <c r="I74" s="39">
        <v>105600</v>
      </c>
      <c r="J74" s="39">
        <v>88000</v>
      </c>
      <c r="K74" s="41">
        <v>40544</v>
      </c>
      <c r="L74" s="41" t="s">
        <v>67</v>
      </c>
      <c r="M74" s="38" t="s">
        <v>26</v>
      </c>
      <c r="N74" s="42" t="s">
        <v>27</v>
      </c>
    </row>
    <row r="75" spans="1:14" s="4" customFormat="1" ht="49.5" customHeight="1">
      <c r="A75" s="35">
        <f t="shared" si="2"/>
        <v>73</v>
      </c>
      <c r="B75" s="36" t="s">
        <v>181</v>
      </c>
      <c r="C75" s="36" t="s">
        <v>194</v>
      </c>
      <c r="D75" s="36" t="s">
        <v>251</v>
      </c>
      <c r="E75" s="37">
        <v>96652.2</v>
      </c>
      <c r="F75" s="37">
        <v>0</v>
      </c>
      <c r="G75" s="37">
        <f t="shared" si="3"/>
        <v>96652.2</v>
      </c>
      <c r="H75" s="66" t="s">
        <v>196</v>
      </c>
      <c r="I75" s="39">
        <v>386608.8</v>
      </c>
      <c r="J75" s="39">
        <v>354391.4</v>
      </c>
      <c r="K75" s="41">
        <v>40544</v>
      </c>
      <c r="L75" s="41" t="s">
        <v>67</v>
      </c>
      <c r="M75" s="38" t="s">
        <v>26</v>
      </c>
      <c r="N75" s="42" t="s">
        <v>27</v>
      </c>
    </row>
    <row r="76" spans="1:14" s="4" customFormat="1" ht="49.5" customHeight="1">
      <c r="A76" s="35">
        <f t="shared" si="2"/>
        <v>74</v>
      </c>
      <c r="B76" s="36" t="s">
        <v>181</v>
      </c>
      <c r="C76" s="36" t="s">
        <v>185</v>
      </c>
      <c r="D76" s="36" t="s">
        <v>197</v>
      </c>
      <c r="E76" s="37">
        <v>36000</v>
      </c>
      <c r="F76" s="37">
        <v>0</v>
      </c>
      <c r="G76" s="37">
        <f t="shared" si="3"/>
        <v>36000</v>
      </c>
      <c r="H76" s="66" t="s">
        <v>184</v>
      </c>
      <c r="I76" s="39">
        <v>36000</v>
      </c>
      <c r="J76" s="39">
        <v>0</v>
      </c>
      <c r="K76" s="41">
        <v>40544</v>
      </c>
      <c r="L76" s="41" t="s">
        <v>67</v>
      </c>
      <c r="M76" s="38" t="s">
        <v>26</v>
      </c>
      <c r="N76" s="42" t="s">
        <v>27</v>
      </c>
    </row>
    <row r="77" spans="1:14" s="4" customFormat="1" ht="49.5" customHeight="1">
      <c r="A77" s="35">
        <f t="shared" si="2"/>
        <v>75</v>
      </c>
      <c r="B77" s="36" t="s">
        <v>181</v>
      </c>
      <c r="C77" s="36" t="s">
        <v>185</v>
      </c>
      <c r="D77" s="36" t="s">
        <v>198</v>
      </c>
      <c r="E77" s="37">
        <f>4407.62+71493.36</f>
        <v>75900.98</v>
      </c>
      <c r="F77" s="37">
        <v>0</v>
      </c>
      <c r="G77" s="37">
        <f t="shared" si="3"/>
        <v>75900.98</v>
      </c>
      <c r="H77" s="67" t="s">
        <v>184</v>
      </c>
      <c r="I77" s="45">
        <v>245000</v>
      </c>
      <c r="J77" s="45">
        <v>237337.58</v>
      </c>
      <c r="K77" s="41">
        <v>40544</v>
      </c>
      <c r="L77" s="41" t="s">
        <v>67</v>
      </c>
      <c r="M77" s="46" t="s">
        <v>26</v>
      </c>
      <c r="N77" s="42" t="s">
        <v>27</v>
      </c>
    </row>
    <row r="78" spans="1:14" s="4" customFormat="1" ht="49.5" customHeight="1">
      <c r="A78" s="35">
        <f t="shared" si="2"/>
        <v>76</v>
      </c>
      <c r="B78" s="36" t="s">
        <v>181</v>
      </c>
      <c r="C78" s="36" t="s">
        <v>199</v>
      </c>
      <c r="D78" s="36" t="s">
        <v>200</v>
      </c>
      <c r="E78" s="37">
        <v>0</v>
      </c>
      <c r="F78" s="37">
        <v>0</v>
      </c>
      <c r="G78" s="37">
        <f t="shared" si="3"/>
        <v>0</v>
      </c>
      <c r="H78" s="67" t="s">
        <v>201</v>
      </c>
      <c r="I78" s="45">
        <v>95000</v>
      </c>
      <c r="J78" s="45">
        <v>95000</v>
      </c>
      <c r="K78" s="41">
        <v>40483</v>
      </c>
      <c r="L78" s="41" t="s">
        <v>67</v>
      </c>
      <c r="M78" s="46" t="s">
        <v>26</v>
      </c>
      <c r="N78" s="42" t="s">
        <v>27</v>
      </c>
    </row>
    <row r="79" spans="1:14" s="4" customFormat="1" ht="49.5" customHeight="1">
      <c r="A79" s="35">
        <f t="shared" si="2"/>
        <v>77</v>
      </c>
      <c r="B79" s="36" t="s">
        <v>181</v>
      </c>
      <c r="C79" s="36" t="s">
        <v>199</v>
      </c>
      <c r="D79" s="36" t="s">
        <v>202</v>
      </c>
      <c r="E79" s="37">
        <v>0</v>
      </c>
      <c r="F79" s="37">
        <v>0</v>
      </c>
      <c r="G79" s="37">
        <f t="shared" si="3"/>
        <v>0</v>
      </c>
      <c r="H79" s="67" t="s">
        <v>201</v>
      </c>
      <c r="I79" s="45">
        <v>30000</v>
      </c>
      <c r="J79" s="45">
        <v>30000</v>
      </c>
      <c r="K79" s="41">
        <v>40483</v>
      </c>
      <c r="L79" s="41" t="s">
        <v>67</v>
      </c>
      <c r="M79" s="46" t="s">
        <v>26</v>
      </c>
      <c r="N79" s="42" t="s">
        <v>27</v>
      </c>
    </row>
    <row r="80" spans="1:14" s="4" customFormat="1" ht="49.5" customHeight="1">
      <c r="A80" s="35">
        <f t="shared" si="2"/>
        <v>78</v>
      </c>
      <c r="B80" s="36" t="s">
        <v>181</v>
      </c>
      <c r="C80" s="36" t="s">
        <v>199</v>
      </c>
      <c r="D80" s="36" t="s">
        <v>203</v>
      </c>
      <c r="E80" s="37">
        <v>1950</v>
      </c>
      <c r="F80" s="37">
        <v>0</v>
      </c>
      <c r="G80" s="37">
        <f t="shared" si="3"/>
        <v>1950</v>
      </c>
      <c r="H80" s="67" t="s">
        <v>201</v>
      </c>
      <c r="I80" s="45">
        <v>1950</v>
      </c>
      <c r="J80" s="45">
        <v>0</v>
      </c>
      <c r="K80" s="41">
        <v>40878</v>
      </c>
      <c r="L80" s="41" t="s">
        <v>67</v>
      </c>
      <c r="M80" s="46" t="s">
        <v>26</v>
      </c>
      <c r="N80" s="42" t="s">
        <v>27</v>
      </c>
    </row>
    <row r="81" spans="1:14" s="4" customFormat="1" ht="49.5" customHeight="1">
      <c r="A81" s="35">
        <f t="shared" si="2"/>
        <v>79</v>
      </c>
      <c r="B81" s="36" t="s">
        <v>181</v>
      </c>
      <c r="C81" s="36" t="s">
        <v>204</v>
      </c>
      <c r="D81" s="36" t="s">
        <v>205</v>
      </c>
      <c r="E81" s="37">
        <v>0</v>
      </c>
      <c r="F81" s="37">
        <v>0</v>
      </c>
      <c r="G81" s="37">
        <f t="shared" si="3"/>
        <v>0</v>
      </c>
      <c r="H81" s="67" t="s">
        <v>206</v>
      </c>
      <c r="I81" s="45">
        <v>266666.7</v>
      </c>
      <c r="J81" s="37">
        <v>26666.67</v>
      </c>
      <c r="K81" s="41">
        <v>40544</v>
      </c>
      <c r="L81" s="41" t="s">
        <v>67</v>
      </c>
      <c r="M81" s="46" t="s">
        <v>26</v>
      </c>
      <c r="N81" s="42" t="s">
        <v>27</v>
      </c>
    </row>
    <row r="82" spans="1:14" s="4" customFormat="1" ht="49.5" customHeight="1">
      <c r="A82" s="35">
        <f t="shared" si="2"/>
        <v>80</v>
      </c>
      <c r="B82" s="36" t="s">
        <v>181</v>
      </c>
      <c r="C82" s="36" t="s">
        <v>204</v>
      </c>
      <c r="D82" s="36" t="s">
        <v>207</v>
      </c>
      <c r="E82" s="37">
        <v>0</v>
      </c>
      <c r="F82" s="37">
        <v>0</v>
      </c>
      <c r="G82" s="37">
        <f t="shared" si="3"/>
        <v>0</v>
      </c>
      <c r="H82" s="67" t="s">
        <v>208</v>
      </c>
      <c r="I82" s="45">
        <v>200000</v>
      </c>
      <c r="J82" s="37">
        <v>20000</v>
      </c>
      <c r="K82" s="41">
        <v>40544</v>
      </c>
      <c r="L82" s="41" t="s">
        <v>67</v>
      </c>
      <c r="M82" s="46" t="s">
        <v>26</v>
      </c>
      <c r="N82" s="42" t="s">
        <v>27</v>
      </c>
    </row>
    <row r="83" spans="1:14" s="4" customFormat="1" ht="49.5" customHeight="1">
      <c r="A83" s="35">
        <f t="shared" si="2"/>
        <v>81</v>
      </c>
      <c r="B83" s="36" t="s">
        <v>181</v>
      </c>
      <c r="C83" s="36" t="s">
        <v>204</v>
      </c>
      <c r="D83" s="36" t="s">
        <v>209</v>
      </c>
      <c r="E83" s="37">
        <v>0</v>
      </c>
      <c r="F83" s="37">
        <v>0</v>
      </c>
      <c r="G83" s="37">
        <f t="shared" si="3"/>
        <v>0</v>
      </c>
      <c r="H83" s="67" t="s">
        <v>210</v>
      </c>
      <c r="I83" s="45">
        <v>400000</v>
      </c>
      <c r="J83" s="37">
        <v>40000</v>
      </c>
      <c r="K83" s="41">
        <v>40544</v>
      </c>
      <c r="L83" s="41" t="s">
        <v>67</v>
      </c>
      <c r="M83" s="46" t="s">
        <v>26</v>
      </c>
      <c r="N83" s="42" t="s">
        <v>27</v>
      </c>
    </row>
    <row r="84" spans="1:14" s="4" customFormat="1" ht="49.5" customHeight="1">
      <c r="A84" s="35">
        <f t="shared" si="2"/>
        <v>82</v>
      </c>
      <c r="B84" s="36" t="s">
        <v>181</v>
      </c>
      <c r="C84" s="36" t="s">
        <v>204</v>
      </c>
      <c r="D84" s="36" t="s">
        <v>211</v>
      </c>
      <c r="E84" s="37">
        <v>0</v>
      </c>
      <c r="F84" s="37">
        <v>0</v>
      </c>
      <c r="G84" s="37">
        <f t="shared" si="3"/>
        <v>0</v>
      </c>
      <c r="H84" s="67" t="s">
        <v>212</v>
      </c>
      <c r="I84" s="45">
        <v>200000</v>
      </c>
      <c r="J84" s="37">
        <v>20000</v>
      </c>
      <c r="K84" s="41">
        <v>40544</v>
      </c>
      <c r="L84" s="41" t="s">
        <v>67</v>
      </c>
      <c r="M84" s="46" t="s">
        <v>26</v>
      </c>
      <c r="N84" s="42" t="s">
        <v>27</v>
      </c>
    </row>
    <row r="85" spans="1:14" s="4" customFormat="1" ht="49.5" customHeight="1">
      <c r="A85" s="35">
        <f t="shared" si="2"/>
        <v>83</v>
      </c>
      <c r="B85" s="36" t="s">
        <v>181</v>
      </c>
      <c r="C85" s="36" t="s">
        <v>204</v>
      </c>
      <c r="D85" s="36" t="s">
        <v>213</v>
      </c>
      <c r="E85" s="37">
        <v>0</v>
      </c>
      <c r="F85" s="37">
        <v>0</v>
      </c>
      <c r="G85" s="37">
        <f t="shared" si="3"/>
        <v>0</v>
      </c>
      <c r="H85" s="67" t="s">
        <v>214</v>
      </c>
      <c r="I85" s="45">
        <v>200000</v>
      </c>
      <c r="J85" s="37">
        <v>20000</v>
      </c>
      <c r="K85" s="41">
        <v>40544</v>
      </c>
      <c r="L85" s="41" t="s">
        <v>67</v>
      </c>
      <c r="M85" s="46" t="s">
        <v>26</v>
      </c>
      <c r="N85" s="42" t="s">
        <v>27</v>
      </c>
    </row>
    <row r="86" spans="1:14" s="4" customFormat="1" ht="49.5" customHeight="1" thickBot="1">
      <c r="A86" s="48">
        <f t="shared" si="2"/>
        <v>84</v>
      </c>
      <c r="B86" s="49" t="s">
        <v>181</v>
      </c>
      <c r="C86" s="49" t="s">
        <v>252</v>
      </c>
      <c r="D86" s="49" t="s">
        <v>253</v>
      </c>
      <c r="E86" s="50">
        <v>36000</v>
      </c>
      <c r="F86" s="50">
        <v>0</v>
      </c>
      <c r="G86" s="50">
        <f t="shared" si="3"/>
        <v>36000</v>
      </c>
      <c r="H86" s="69" t="s">
        <v>254</v>
      </c>
      <c r="I86" s="52">
        <v>180000</v>
      </c>
      <c r="J86" s="50">
        <v>0</v>
      </c>
      <c r="K86" s="54">
        <v>40909</v>
      </c>
      <c r="L86" s="54" t="s">
        <v>67</v>
      </c>
      <c r="M86" s="55" t="s">
        <v>26</v>
      </c>
      <c r="N86" s="56" t="s">
        <v>27</v>
      </c>
    </row>
    <row r="87" spans="1:14" s="4" customFormat="1" ht="49.5" customHeight="1" thickBot="1" thickTop="1">
      <c r="A87" s="9"/>
      <c r="B87" s="10"/>
      <c r="C87" s="10"/>
      <c r="D87" s="71" t="s">
        <v>215</v>
      </c>
      <c r="E87" s="72">
        <f>SUM(E3:E86)</f>
        <v>4197993.9399999995</v>
      </c>
      <c r="F87" s="72">
        <f>SUM(F3:F86)</f>
        <v>0</v>
      </c>
      <c r="G87" s="73">
        <f>SUM(G3:G86)</f>
        <v>4197993.9399999995</v>
      </c>
      <c r="H87" s="10"/>
      <c r="I87" s="10"/>
      <c r="J87" s="10"/>
      <c r="K87" s="10"/>
      <c r="L87" s="11"/>
      <c r="M87" s="10"/>
      <c r="N87" s="12"/>
    </row>
    <row r="88" ht="13.5" thickTop="1"/>
    <row r="89" spans="1:14" s="15" customFormat="1" ht="12.75">
      <c r="A89" s="13"/>
      <c r="B89" s="14"/>
      <c r="C89" s="14"/>
      <c r="D89" s="25" t="s">
        <v>255</v>
      </c>
      <c r="E89" s="25"/>
      <c r="F89" s="25"/>
      <c r="G89" s="25"/>
      <c r="K89" s="14"/>
      <c r="L89" s="16"/>
      <c r="M89" s="14"/>
      <c r="N89" s="17"/>
    </row>
    <row r="90" spans="2:13" s="15" customFormat="1" ht="12.75">
      <c r="B90" s="22"/>
      <c r="C90" s="22"/>
      <c r="E90" s="22"/>
      <c r="F90" s="22"/>
      <c r="G90" s="22"/>
      <c r="K90" s="22"/>
      <c r="L90" s="22"/>
      <c r="M90" s="22"/>
    </row>
    <row r="91" spans="1:14" s="15" customFormat="1" ht="12.75">
      <c r="A91" s="20"/>
      <c r="B91" s="24" t="s">
        <v>221</v>
      </c>
      <c r="C91" s="24"/>
      <c r="E91" s="23" t="s">
        <v>222</v>
      </c>
      <c r="F91" s="23"/>
      <c r="G91" s="23"/>
      <c r="K91" s="23" t="s">
        <v>223</v>
      </c>
      <c r="L91" s="23"/>
      <c r="M91" s="23"/>
      <c r="N91" s="19"/>
    </row>
    <row r="92" spans="1:14" s="15" customFormat="1" ht="12.75">
      <c r="A92" s="21"/>
      <c r="B92" s="18" t="s">
        <v>224</v>
      </c>
      <c r="C92" s="18"/>
      <c r="E92" s="18" t="s">
        <v>225</v>
      </c>
      <c r="F92" s="18"/>
      <c r="G92" s="18"/>
      <c r="K92" s="18" t="s">
        <v>226</v>
      </c>
      <c r="L92" s="18"/>
      <c r="M92" s="18"/>
      <c r="N92" s="19"/>
    </row>
  </sheetData>
  <sheetProtection selectLockedCells="1" selectUnlockedCells="1"/>
  <mergeCells count="11">
    <mergeCell ref="B92:C92"/>
    <mergeCell ref="E92:G92"/>
    <mergeCell ref="K92:M92"/>
    <mergeCell ref="A1:N1"/>
    <mergeCell ref="D89:G89"/>
    <mergeCell ref="B90:C90"/>
    <mergeCell ref="E90:G90"/>
    <mergeCell ref="K90:M90"/>
    <mergeCell ref="B91:C91"/>
    <mergeCell ref="E91:G91"/>
    <mergeCell ref="K91:M91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showGridLines="0" zoomScalePageLayoutView="0" workbookViewId="0" topLeftCell="A91">
      <selection activeCell="D102" sqref="D10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f aca="true" t="shared" si="0" ref="G3:G66">E3+F3</f>
        <v>8415</v>
      </c>
      <c r="H3" s="29" t="s">
        <v>12</v>
      </c>
      <c r="I3" s="30">
        <f>12*8415</f>
        <v>100980</v>
      </c>
      <c r="J3" s="28">
        <f>25245+16830+8415+33660+8415</f>
        <v>92565</v>
      </c>
      <c r="K3" s="32">
        <v>40545</v>
      </c>
      <c r="L3" s="74">
        <v>40908</v>
      </c>
      <c r="M3" s="33" t="s">
        <v>13</v>
      </c>
      <c r="N3" s="34" t="s">
        <v>14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f t="shared" si="0"/>
        <v>7150</v>
      </c>
      <c r="H4" s="38" t="s">
        <v>16</v>
      </c>
      <c r="I4" s="39">
        <f>7150*12</f>
        <v>85800</v>
      </c>
      <c r="J4" s="37">
        <f>21450+14300+7150+28600+7150</f>
        <v>78650</v>
      </c>
      <c r="K4" s="41">
        <v>40545</v>
      </c>
      <c r="L4" s="46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17</v>
      </c>
      <c r="C5" s="36" t="s">
        <v>18</v>
      </c>
      <c r="D5" s="36" t="s">
        <v>19</v>
      </c>
      <c r="E5" s="37">
        <v>0</v>
      </c>
      <c r="F5" s="37">
        <v>0</v>
      </c>
      <c r="G5" s="37">
        <f t="shared" si="0"/>
        <v>0</v>
      </c>
      <c r="H5" s="38" t="s">
        <v>20</v>
      </c>
      <c r="I5" s="39">
        <v>2556407.93</v>
      </c>
      <c r="J5" s="39">
        <v>383461.19</v>
      </c>
      <c r="K5" s="41">
        <v>40142</v>
      </c>
      <c r="L5" s="46">
        <v>40872</v>
      </c>
      <c r="M5" s="38" t="s">
        <v>21</v>
      </c>
      <c r="N5" s="42" t="s">
        <v>22</v>
      </c>
    </row>
    <row r="6" spans="1:14" s="4" customFormat="1" ht="49.5" customHeight="1">
      <c r="A6" s="35">
        <f t="shared" si="1"/>
        <v>4</v>
      </c>
      <c r="B6" s="36" t="s">
        <v>17</v>
      </c>
      <c r="C6" s="36" t="s">
        <v>23</v>
      </c>
      <c r="D6" s="36" t="s">
        <v>24</v>
      </c>
      <c r="E6" s="37">
        <f>279227.1+279227.1</f>
        <v>558454.2</v>
      </c>
      <c r="F6" s="37">
        <v>0</v>
      </c>
      <c r="G6" s="37">
        <f t="shared" si="0"/>
        <v>558454.2</v>
      </c>
      <c r="H6" s="38" t="s">
        <v>25</v>
      </c>
      <c r="I6" s="39">
        <v>2792271</v>
      </c>
      <c r="J6" s="37">
        <f>279227.1+279227.1+279227.1+279227.1+279227.1</f>
        <v>1396135.5</v>
      </c>
      <c r="K6" s="41">
        <v>39995</v>
      </c>
      <c r="L6" s="46">
        <v>41820</v>
      </c>
      <c r="M6" s="38" t="s">
        <v>26</v>
      </c>
      <c r="N6" s="42" t="s">
        <v>27</v>
      </c>
    </row>
    <row r="7" spans="1:14" s="4" customFormat="1" ht="49.5" customHeight="1">
      <c r="A7" s="35">
        <f t="shared" si="1"/>
        <v>5</v>
      </c>
      <c r="B7" s="36" t="s">
        <v>257</v>
      </c>
      <c r="C7" s="36" t="s">
        <v>258</v>
      </c>
      <c r="D7" s="36" t="s">
        <v>259</v>
      </c>
      <c r="E7" s="37">
        <v>196589</v>
      </c>
      <c r="F7" s="37">
        <v>0</v>
      </c>
      <c r="G7" s="37">
        <f t="shared" si="0"/>
        <v>196589</v>
      </c>
      <c r="H7" s="38" t="s">
        <v>260</v>
      </c>
      <c r="I7" s="39">
        <f>4*196589</f>
        <v>786356</v>
      </c>
      <c r="J7" s="39">
        <v>0</v>
      </c>
      <c r="K7" s="41">
        <v>40957</v>
      </c>
      <c r="L7" s="46">
        <v>41688</v>
      </c>
      <c r="M7" s="38" t="s">
        <v>26</v>
      </c>
      <c r="N7" s="42" t="s">
        <v>68</v>
      </c>
    </row>
    <row r="8" spans="1:14" s="4" customFormat="1" ht="49.5" customHeight="1">
      <c r="A8" s="35">
        <f t="shared" si="1"/>
        <v>6</v>
      </c>
      <c r="B8" s="36" t="s">
        <v>28</v>
      </c>
      <c r="C8" s="36" t="s">
        <v>29</v>
      </c>
      <c r="D8" s="36" t="s">
        <v>30</v>
      </c>
      <c r="E8" s="37">
        <v>0</v>
      </c>
      <c r="F8" s="37">
        <v>0</v>
      </c>
      <c r="G8" s="37">
        <f t="shared" si="0"/>
        <v>0</v>
      </c>
      <c r="H8" s="38" t="s">
        <v>31</v>
      </c>
      <c r="I8" s="39">
        <v>273666.94</v>
      </c>
      <c r="J8" s="39">
        <v>273666.94</v>
      </c>
      <c r="K8" s="41">
        <v>40178</v>
      </c>
      <c r="L8" s="46">
        <v>40542</v>
      </c>
      <c r="M8" s="38" t="s">
        <v>32</v>
      </c>
      <c r="N8" s="42" t="s">
        <v>27</v>
      </c>
    </row>
    <row r="9" spans="1:14" s="4" customFormat="1" ht="49.5" customHeight="1">
      <c r="A9" s="35">
        <f t="shared" si="1"/>
        <v>7</v>
      </c>
      <c r="B9" s="36" t="s">
        <v>28</v>
      </c>
      <c r="C9" s="36" t="s">
        <v>29</v>
      </c>
      <c r="D9" s="36" t="s">
        <v>33</v>
      </c>
      <c r="E9" s="37">
        <v>0</v>
      </c>
      <c r="F9" s="37">
        <v>0</v>
      </c>
      <c r="G9" s="37">
        <f t="shared" si="0"/>
        <v>0</v>
      </c>
      <c r="H9" s="38" t="s">
        <v>34</v>
      </c>
      <c r="I9" s="39">
        <v>1636649.08</v>
      </c>
      <c r="J9" s="39">
        <v>514958.82</v>
      </c>
      <c r="K9" s="41">
        <v>40176</v>
      </c>
      <c r="L9" s="46">
        <v>40722</v>
      </c>
      <c r="M9" s="38" t="s">
        <v>35</v>
      </c>
      <c r="N9" s="42" t="s">
        <v>27</v>
      </c>
    </row>
    <row r="10" spans="1:14" s="4" customFormat="1" ht="49.5" customHeight="1">
      <c r="A10" s="35">
        <f t="shared" si="1"/>
        <v>8</v>
      </c>
      <c r="B10" s="36" t="s">
        <v>28</v>
      </c>
      <c r="C10" s="75" t="s">
        <v>29</v>
      </c>
      <c r="D10" s="36" t="s">
        <v>36</v>
      </c>
      <c r="E10" s="37">
        <v>0</v>
      </c>
      <c r="F10" s="37">
        <v>0</v>
      </c>
      <c r="G10" s="37">
        <f t="shared" si="0"/>
        <v>0</v>
      </c>
      <c r="H10" s="44" t="s">
        <v>37</v>
      </c>
      <c r="I10" s="45">
        <v>1492263.04</v>
      </c>
      <c r="J10" s="45">
        <v>517381.16</v>
      </c>
      <c r="K10" s="41">
        <v>40176</v>
      </c>
      <c r="L10" s="46">
        <v>40905</v>
      </c>
      <c r="M10" s="38" t="s">
        <v>38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39</v>
      </c>
      <c r="E11" s="37">
        <v>147662.4</v>
      </c>
      <c r="F11" s="37">
        <v>0</v>
      </c>
      <c r="G11" s="37">
        <f t="shared" si="0"/>
        <v>147662.4</v>
      </c>
      <c r="H11" s="38" t="s">
        <v>40</v>
      </c>
      <c r="I11" s="39">
        <v>322420.94</v>
      </c>
      <c r="J11" s="39">
        <v>174758.54</v>
      </c>
      <c r="K11" s="41">
        <v>40176</v>
      </c>
      <c r="L11" s="46">
        <v>40540</v>
      </c>
      <c r="M11" s="38" t="s">
        <v>32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41</v>
      </c>
      <c r="E12" s="37">
        <v>0</v>
      </c>
      <c r="F12" s="37">
        <v>0</v>
      </c>
      <c r="G12" s="37">
        <f t="shared" si="0"/>
        <v>0</v>
      </c>
      <c r="H12" s="38" t="s">
        <v>42</v>
      </c>
      <c r="I12" s="39">
        <v>851408.61</v>
      </c>
      <c r="J12" s="39">
        <f>588308.41+263100.2</f>
        <v>851408.6100000001</v>
      </c>
      <c r="K12" s="41">
        <v>38890</v>
      </c>
      <c r="L12" s="46">
        <v>40056</v>
      </c>
      <c r="M12" s="38" t="s">
        <v>26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43</v>
      </c>
      <c r="E13" s="37">
        <v>0</v>
      </c>
      <c r="F13" s="37">
        <v>0</v>
      </c>
      <c r="G13" s="37">
        <f t="shared" si="0"/>
        <v>0</v>
      </c>
      <c r="H13" s="38" t="s">
        <v>44</v>
      </c>
      <c r="I13" s="39">
        <v>352000</v>
      </c>
      <c r="J13" s="39">
        <v>211200</v>
      </c>
      <c r="K13" s="41">
        <v>39633</v>
      </c>
      <c r="L13" s="46">
        <v>39993</v>
      </c>
      <c r="M13" s="38" t="s">
        <v>35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45</v>
      </c>
      <c r="E14" s="37">
        <v>0</v>
      </c>
      <c r="F14" s="37">
        <v>0</v>
      </c>
      <c r="G14" s="37">
        <f t="shared" si="0"/>
        <v>0</v>
      </c>
      <c r="H14" s="38" t="s">
        <v>46</v>
      </c>
      <c r="I14" s="39">
        <v>516646.91</v>
      </c>
      <c r="J14" s="39">
        <v>437114.41</v>
      </c>
      <c r="K14" s="41">
        <v>40536</v>
      </c>
      <c r="L14" s="46">
        <v>40900</v>
      </c>
      <c r="M14" s="38" t="s">
        <v>26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47</v>
      </c>
      <c r="E15" s="37">
        <v>0</v>
      </c>
      <c r="F15" s="37">
        <v>0</v>
      </c>
      <c r="G15" s="37">
        <f t="shared" si="0"/>
        <v>0</v>
      </c>
      <c r="H15" s="38" t="s">
        <v>48</v>
      </c>
      <c r="I15" s="39">
        <v>100000</v>
      </c>
      <c r="J15" s="39">
        <v>100000</v>
      </c>
      <c r="K15" s="41">
        <v>40177</v>
      </c>
      <c r="L15" s="46">
        <v>40541</v>
      </c>
      <c r="M15" s="38" t="s">
        <v>32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49</v>
      </c>
      <c r="E16" s="37">
        <v>0</v>
      </c>
      <c r="F16" s="37">
        <v>0</v>
      </c>
      <c r="G16" s="37">
        <f t="shared" si="0"/>
        <v>0</v>
      </c>
      <c r="H16" s="38" t="s">
        <v>50</v>
      </c>
      <c r="I16" s="39">
        <v>202569.34</v>
      </c>
      <c r="J16" s="39">
        <v>202569.343</v>
      </c>
      <c r="K16" s="41">
        <v>40542</v>
      </c>
      <c r="L16" s="46">
        <v>40907</v>
      </c>
      <c r="M16" s="38" t="s">
        <v>26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51</v>
      </c>
      <c r="E17" s="37">
        <v>182038.38</v>
      </c>
      <c r="F17" s="37">
        <v>0</v>
      </c>
      <c r="G17" s="37">
        <f t="shared" si="0"/>
        <v>182038.38</v>
      </c>
      <c r="H17" s="38" t="s">
        <v>52</v>
      </c>
      <c r="I17" s="39">
        <v>3640767.5</v>
      </c>
      <c r="J17" s="39">
        <v>0</v>
      </c>
      <c r="K17" s="41">
        <v>40542</v>
      </c>
      <c r="L17" s="46">
        <v>42001</v>
      </c>
      <c r="M17" s="38" t="s">
        <v>35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53</v>
      </c>
      <c r="C18" s="36" t="s">
        <v>29</v>
      </c>
      <c r="D18" s="36" t="s">
        <v>54</v>
      </c>
      <c r="E18" s="37">
        <v>771437.88</v>
      </c>
      <c r="F18" s="37">
        <v>0</v>
      </c>
      <c r="G18" s="37">
        <f t="shared" si="0"/>
        <v>771437.88</v>
      </c>
      <c r="H18" s="38" t="s">
        <v>55</v>
      </c>
      <c r="I18" s="39">
        <v>771437.88</v>
      </c>
      <c r="J18" s="39">
        <v>0</v>
      </c>
      <c r="K18" s="41">
        <v>40886</v>
      </c>
      <c r="L18" s="46">
        <v>41617</v>
      </c>
      <c r="M18" s="38" t="s">
        <v>35</v>
      </c>
      <c r="N18" s="42" t="s">
        <v>27</v>
      </c>
    </row>
    <row r="19" spans="1:15" s="7" customFormat="1" ht="49.5" customHeight="1">
      <c r="A19" s="35">
        <f t="shared" si="1"/>
        <v>17</v>
      </c>
      <c r="B19" s="36" t="s">
        <v>53</v>
      </c>
      <c r="C19" s="36" t="s">
        <v>29</v>
      </c>
      <c r="D19" s="36" t="s">
        <v>56</v>
      </c>
      <c r="E19" s="37">
        <v>90000</v>
      </c>
      <c r="F19" s="37">
        <v>0</v>
      </c>
      <c r="G19" s="37">
        <f t="shared" si="0"/>
        <v>90000</v>
      </c>
      <c r="H19" s="38" t="s">
        <v>57</v>
      </c>
      <c r="I19" s="39">
        <v>3944386.94</v>
      </c>
      <c r="J19" s="39">
        <v>0</v>
      </c>
      <c r="K19" s="41">
        <v>40904</v>
      </c>
      <c r="L19" s="46">
        <v>42000</v>
      </c>
      <c r="M19" s="38" t="s">
        <v>35</v>
      </c>
      <c r="N19" s="42" t="s">
        <v>27</v>
      </c>
      <c r="O19" s="4"/>
    </row>
    <row r="20" spans="1:15" s="7" customFormat="1" ht="49.5" customHeight="1">
      <c r="A20" s="35">
        <f t="shared" si="1"/>
        <v>18</v>
      </c>
      <c r="B20" s="36" t="s">
        <v>28</v>
      </c>
      <c r="C20" s="75" t="s">
        <v>58</v>
      </c>
      <c r="D20" s="36" t="s">
        <v>59</v>
      </c>
      <c r="E20" s="37">
        <v>0</v>
      </c>
      <c r="F20" s="37">
        <v>0</v>
      </c>
      <c r="G20" s="37">
        <f t="shared" si="0"/>
        <v>0</v>
      </c>
      <c r="H20" s="38" t="s">
        <v>60</v>
      </c>
      <c r="I20" s="39">
        <v>250000</v>
      </c>
      <c r="J20" s="39">
        <v>250000</v>
      </c>
      <c r="K20" s="41">
        <v>40155</v>
      </c>
      <c r="L20" s="46">
        <v>40519</v>
      </c>
      <c r="M20" s="38" t="s">
        <v>26</v>
      </c>
      <c r="N20" s="42" t="s">
        <v>27</v>
      </c>
      <c r="O20" s="4"/>
    </row>
    <row r="21" spans="1:15" s="7" customFormat="1" ht="49.5" customHeight="1">
      <c r="A21" s="35">
        <f t="shared" si="1"/>
        <v>19</v>
      </c>
      <c r="B21" s="36" t="s">
        <v>28</v>
      </c>
      <c r="C21" s="75" t="s">
        <v>58</v>
      </c>
      <c r="D21" s="75" t="s">
        <v>61</v>
      </c>
      <c r="E21" s="37">
        <v>0</v>
      </c>
      <c r="F21" s="37">
        <v>0</v>
      </c>
      <c r="G21" s="37">
        <f t="shared" si="0"/>
        <v>0</v>
      </c>
      <c r="H21" s="44" t="s">
        <v>62</v>
      </c>
      <c r="I21" s="45">
        <v>700000</v>
      </c>
      <c r="J21" s="45">
        <v>486857</v>
      </c>
      <c r="K21" s="41">
        <v>40532</v>
      </c>
      <c r="L21" s="46">
        <v>40711</v>
      </c>
      <c r="M21" s="38" t="s">
        <v>26</v>
      </c>
      <c r="N21" s="42" t="s">
        <v>27</v>
      </c>
      <c r="O21" s="4"/>
    </row>
    <row r="22" spans="1:15" s="7" customFormat="1" ht="49.5" customHeight="1">
      <c r="A22" s="35">
        <f t="shared" si="1"/>
        <v>20</v>
      </c>
      <c r="B22" s="36" t="s">
        <v>28</v>
      </c>
      <c r="C22" s="75" t="s">
        <v>58</v>
      </c>
      <c r="D22" s="75" t="s">
        <v>261</v>
      </c>
      <c r="E22" s="37">
        <v>200000</v>
      </c>
      <c r="F22" s="37">
        <v>0</v>
      </c>
      <c r="G22" s="37">
        <f t="shared" si="0"/>
        <v>200000</v>
      </c>
      <c r="H22" s="44" t="s">
        <v>262</v>
      </c>
      <c r="I22" s="45">
        <v>200000</v>
      </c>
      <c r="J22" s="45">
        <v>0</v>
      </c>
      <c r="K22" s="41">
        <v>41018</v>
      </c>
      <c r="L22" s="46">
        <v>41378</v>
      </c>
      <c r="M22" s="38" t="s">
        <v>26</v>
      </c>
      <c r="N22" s="42" t="s">
        <v>27</v>
      </c>
      <c r="O22" s="4"/>
    </row>
    <row r="23" spans="1:15" s="7" customFormat="1" ht="49.5" customHeight="1">
      <c r="A23" s="35">
        <f t="shared" si="1"/>
        <v>21</v>
      </c>
      <c r="B23" s="36" t="s">
        <v>63</v>
      </c>
      <c r="C23" s="36" t="s">
        <v>64</v>
      </c>
      <c r="D23" s="36" t="s">
        <v>65</v>
      </c>
      <c r="E23" s="37">
        <v>0</v>
      </c>
      <c r="F23" s="37">
        <v>0</v>
      </c>
      <c r="G23" s="37">
        <f t="shared" si="0"/>
        <v>0</v>
      </c>
      <c r="H23" s="38" t="s">
        <v>66</v>
      </c>
      <c r="I23" s="39">
        <v>47533.89</v>
      </c>
      <c r="J23" s="39">
        <v>47533.89</v>
      </c>
      <c r="K23" s="41">
        <v>39814</v>
      </c>
      <c r="L23" s="46" t="s">
        <v>67</v>
      </c>
      <c r="M23" s="38" t="s">
        <v>26</v>
      </c>
      <c r="N23" s="42" t="s">
        <v>68</v>
      </c>
      <c r="O23" s="4"/>
    </row>
    <row r="24" spans="1:15" s="7" customFormat="1" ht="49.5" customHeight="1">
      <c r="A24" s="35">
        <f t="shared" si="1"/>
        <v>22</v>
      </c>
      <c r="B24" s="36" t="s">
        <v>63</v>
      </c>
      <c r="C24" s="36" t="s">
        <v>64</v>
      </c>
      <c r="D24" s="36" t="s">
        <v>69</v>
      </c>
      <c r="E24" s="37">
        <v>0</v>
      </c>
      <c r="F24" s="37">
        <v>0</v>
      </c>
      <c r="G24" s="37">
        <f t="shared" si="0"/>
        <v>0</v>
      </c>
      <c r="H24" s="38" t="s">
        <v>66</v>
      </c>
      <c r="I24" s="39">
        <f>2880+6720</f>
        <v>9600</v>
      </c>
      <c r="J24" s="39">
        <f>7600+2000</f>
        <v>9600</v>
      </c>
      <c r="K24" s="41">
        <v>40303</v>
      </c>
      <c r="L24" s="46" t="s">
        <v>67</v>
      </c>
      <c r="M24" s="38" t="s">
        <v>26</v>
      </c>
      <c r="N24" s="42" t="s">
        <v>68</v>
      </c>
      <c r="O24" s="4"/>
    </row>
    <row r="25" spans="1:15" s="7" customFormat="1" ht="49.5" customHeight="1">
      <c r="A25" s="35">
        <f t="shared" si="1"/>
        <v>23</v>
      </c>
      <c r="B25" s="36" t="s">
        <v>63</v>
      </c>
      <c r="C25" s="36" t="s">
        <v>64</v>
      </c>
      <c r="D25" s="36" t="s">
        <v>263</v>
      </c>
      <c r="E25" s="37">
        <v>1281.93</v>
      </c>
      <c r="F25" s="37">
        <v>0</v>
      </c>
      <c r="G25" s="37">
        <f t="shared" si="0"/>
        <v>1281.93</v>
      </c>
      <c r="H25" s="38" t="s">
        <v>264</v>
      </c>
      <c r="I25" s="39">
        <v>1281.93</v>
      </c>
      <c r="J25" s="39">
        <v>0</v>
      </c>
      <c r="K25" s="41">
        <v>39600</v>
      </c>
      <c r="L25" s="46">
        <v>41274</v>
      </c>
      <c r="M25" s="38" t="s">
        <v>26</v>
      </c>
      <c r="N25" s="42" t="s">
        <v>68</v>
      </c>
      <c r="O25" s="4"/>
    </row>
    <row r="26" spans="1:15" s="7" customFormat="1" ht="49.5" customHeight="1">
      <c r="A26" s="35">
        <f t="shared" si="1"/>
        <v>24</v>
      </c>
      <c r="B26" s="36" t="s">
        <v>63</v>
      </c>
      <c r="C26" s="36" t="s">
        <v>70</v>
      </c>
      <c r="D26" s="36" t="s">
        <v>71</v>
      </c>
      <c r="E26" s="37">
        <v>0</v>
      </c>
      <c r="F26" s="37">
        <v>0</v>
      </c>
      <c r="G26" s="37">
        <f t="shared" si="0"/>
        <v>0</v>
      </c>
      <c r="H26" s="38" t="s">
        <v>72</v>
      </c>
      <c r="I26" s="39">
        <v>70000</v>
      </c>
      <c r="J26" s="39">
        <v>70000</v>
      </c>
      <c r="K26" s="41">
        <v>40540</v>
      </c>
      <c r="L26" s="46">
        <v>40724</v>
      </c>
      <c r="M26" s="38" t="s">
        <v>26</v>
      </c>
      <c r="N26" s="42" t="s">
        <v>68</v>
      </c>
      <c r="O26" s="4"/>
    </row>
    <row r="27" spans="1:15" s="7" customFormat="1" ht="49.5" customHeight="1">
      <c r="A27" s="35">
        <f t="shared" si="1"/>
        <v>25</v>
      </c>
      <c r="B27" s="36" t="s">
        <v>63</v>
      </c>
      <c r="C27" s="36" t="s">
        <v>70</v>
      </c>
      <c r="D27" s="36" t="s">
        <v>73</v>
      </c>
      <c r="E27" s="37">
        <v>0</v>
      </c>
      <c r="F27" s="37">
        <v>0</v>
      </c>
      <c r="G27" s="37">
        <f t="shared" si="0"/>
        <v>0</v>
      </c>
      <c r="H27" s="38" t="s">
        <v>74</v>
      </c>
      <c r="I27" s="39">
        <v>60000</v>
      </c>
      <c r="J27" s="39">
        <v>60000</v>
      </c>
      <c r="K27" s="41">
        <v>40540</v>
      </c>
      <c r="L27" s="46">
        <v>40724</v>
      </c>
      <c r="M27" s="38" t="s">
        <v>26</v>
      </c>
      <c r="N27" s="42" t="s">
        <v>68</v>
      </c>
      <c r="O27" s="4"/>
    </row>
    <row r="28" spans="1:15" s="7" customFormat="1" ht="49.5" customHeight="1">
      <c r="A28" s="35">
        <f t="shared" si="1"/>
        <v>26</v>
      </c>
      <c r="B28" s="36" t="s">
        <v>63</v>
      </c>
      <c r="C28" s="36" t="s">
        <v>75</v>
      </c>
      <c r="D28" s="36" t="s">
        <v>76</v>
      </c>
      <c r="E28" s="37">
        <v>0</v>
      </c>
      <c r="F28" s="37">
        <v>0</v>
      </c>
      <c r="G28" s="37">
        <f t="shared" si="0"/>
        <v>0</v>
      </c>
      <c r="H28" s="38" t="s">
        <v>77</v>
      </c>
      <c r="I28" s="39">
        <v>630000</v>
      </c>
      <c r="J28" s="39">
        <v>630000</v>
      </c>
      <c r="K28" s="41">
        <v>40599</v>
      </c>
      <c r="L28" s="46">
        <v>40908</v>
      </c>
      <c r="M28" s="38" t="s">
        <v>26</v>
      </c>
      <c r="N28" s="42" t="s">
        <v>68</v>
      </c>
      <c r="O28" s="4"/>
    </row>
    <row r="29" spans="1:15" s="7" customFormat="1" ht="49.5" customHeight="1">
      <c r="A29" s="35">
        <f t="shared" si="1"/>
        <v>27</v>
      </c>
      <c r="B29" s="36" t="s">
        <v>63</v>
      </c>
      <c r="C29" s="36" t="s">
        <v>75</v>
      </c>
      <c r="D29" s="36" t="s">
        <v>78</v>
      </c>
      <c r="E29" s="37">
        <v>105000</v>
      </c>
      <c r="F29" s="37">
        <v>0</v>
      </c>
      <c r="G29" s="37">
        <f t="shared" si="0"/>
        <v>105000</v>
      </c>
      <c r="H29" s="38" t="s">
        <v>79</v>
      </c>
      <c r="I29" s="39">
        <v>630000</v>
      </c>
      <c r="J29" s="39">
        <v>525000</v>
      </c>
      <c r="K29" s="41">
        <v>40751</v>
      </c>
      <c r="L29" s="46">
        <v>40908</v>
      </c>
      <c r="M29" s="38" t="s">
        <v>26</v>
      </c>
      <c r="N29" s="42" t="s">
        <v>68</v>
      </c>
      <c r="O29" s="4"/>
    </row>
    <row r="30" spans="1:15" s="7" customFormat="1" ht="49.5" customHeight="1">
      <c r="A30" s="35">
        <f t="shared" si="1"/>
        <v>28</v>
      </c>
      <c r="B30" s="36" t="s">
        <v>63</v>
      </c>
      <c r="C30" s="36" t="s">
        <v>75</v>
      </c>
      <c r="D30" s="36" t="s">
        <v>265</v>
      </c>
      <c r="E30" s="37">
        <v>105000</v>
      </c>
      <c r="F30" s="37">
        <v>0</v>
      </c>
      <c r="G30" s="37">
        <f t="shared" si="0"/>
        <v>105000</v>
      </c>
      <c r="H30" s="38" t="s">
        <v>266</v>
      </c>
      <c r="I30" s="39">
        <v>315000</v>
      </c>
      <c r="J30" s="39">
        <v>0</v>
      </c>
      <c r="K30" s="41">
        <v>40977</v>
      </c>
      <c r="L30" s="46">
        <v>41271</v>
      </c>
      <c r="M30" s="38" t="s">
        <v>26</v>
      </c>
      <c r="N30" s="42" t="s">
        <v>68</v>
      </c>
      <c r="O30" s="4"/>
    </row>
    <row r="31" spans="1:15" s="7" customFormat="1" ht="49.5" customHeight="1">
      <c r="A31" s="35">
        <f t="shared" si="1"/>
        <v>29</v>
      </c>
      <c r="B31" s="75" t="s">
        <v>80</v>
      </c>
      <c r="C31" s="36" t="s">
        <v>81</v>
      </c>
      <c r="D31" s="36" t="s">
        <v>82</v>
      </c>
      <c r="E31" s="37">
        <v>0</v>
      </c>
      <c r="F31" s="37">
        <v>0</v>
      </c>
      <c r="G31" s="37">
        <f t="shared" si="0"/>
        <v>0</v>
      </c>
      <c r="H31" s="38" t="s">
        <v>83</v>
      </c>
      <c r="I31" s="39">
        <v>126000</v>
      </c>
      <c r="J31" s="39">
        <f>66036+47363</f>
        <v>113399</v>
      </c>
      <c r="K31" s="41">
        <v>39071</v>
      </c>
      <c r="L31" s="46" t="s">
        <v>84</v>
      </c>
      <c r="M31" s="38" t="s">
        <v>26</v>
      </c>
      <c r="N31" s="42" t="s">
        <v>27</v>
      </c>
      <c r="O31" s="4"/>
    </row>
    <row r="32" spans="1:15" s="7" customFormat="1" ht="49.5" customHeight="1">
      <c r="A32" s="35">
        <f t="shared" si="1"/>
        <v>30</v>
      </c>
      <c r="B32" s="36" t="s">
        <v>85</v>
      </c>
      <c r="C32" s="75" t="s">
        <v>86</v>
      </c>
      <c r="D32" s="75" t="s">
        <v>87</v>
      </c>
      <c r="E32" s="37">
        <f>8732.91+45419.87</f>
        <v>54152.78</v>
      </c>
      <c r="F32" s="37">
        <v>0</v>
      </c>
      <c r="G32" s="37">
        <f t="shared" si="0"/>
        <v>54152.78</v>
      </c>
      <c r="H32" s="44" t="s">
        <v>88</v>
      </c>
      <c r="I32" s="45">
        <v>85000</v>
      </c>
      <c r="J32" s="45">
        <v>0</v>
      </c>
      <c r="K32" s="41">
        <v>38611</v>
      </c>
      <c r="L32" s="46" t="s">
        <v>67</v>
      </c>
      <c r="M32" s="46" t="s">
        <v>26</v>
      </c>
      <c r="N32" s="42" t="s">
        <v>27</v>
      </c>
      <c r="O32" s="4"/>
    </row>
    <row r="33" spans="1:15" s="7" customFormat="1" ht="49.5" customHeight="1">
      <c r="A33" s="35">
        <f t="shared" si="1"/>
        <v>31</v>
      </c>
      <c r="B33" s="36" t="s">
        <v>89</v>
      </c>
      <c r="C33" s="36" t="s">
        <v>90</v>
      </c>
      <c r="D33" s="36" t="s">
        <v>91</v>
      </c>
      <c r="E33" s="39">
        <v>0</v>
      </c>
      <c r="F33" s="37">
        <v>0</v>
      </c>
      <c r="G33" s="37">
        <f t="shared" si="0"/>
        <v>0</v>
      </c>
      <c r="H33" s="44" t="s">
        <v>92</v>
      </c>
      <c r="I33" s="45">
        <v>292500</v>
      </c>
      <c r="J33" s="45">
        <v>292500</v>
      </c>
      <c r="K33" s="41">
        <v>40350</v>
      </c>
      <c r="L33" s="46">
        <v>40775</v>
      </c>
      <c r="M33" s="46" t="s">
        <v>26</v>
      </c>
      <c r="N33" s="42" t="s">
        <v>27</v>
      </c>
      <c r="O33" s="4"/>
    </row>
    <row r="34" spans="1:15" s="7" customFormat="1" ht="49.5" customHeight="1">
      <c r="A34" s="35">
        <f t="shared" si="1"/>
        <v>32</v>
      </c>
      <c r="B34" s="36" t="s">
        <v>93</v>
      </c>
      <c r="C34" s="36" t="s">
        <v>94</v>
      </c>
      <c r="D34" s="36" t="s">
        <v>95</v>
      </c>
      <c r="E34" s="37">
        <f>179904+359808</f>
        <v>539712</v>
      </c>
      <c r="F34" s="37">
        <v>0</v>
      </c>
      <c r="G34" s="37">
        <f t="shared" si="0"/>
        <v>539712</v>
      </c>
      <c r="H34" s="38" t="s">
        <v>96</v>
      </c>
      <c r="I34" s="39">
        <v>1803960</v>
      </c>
      <c r="J34" s="39">
        <v>0</v>
      </c>
      <c r="K34" s="41">
        <v>40544</v>
      </c>
      <c r="L34" s="46">
        <v>40908</v>
      </c>
      <c r="M34" s="46" t="s">
        <v>26</v>
      </c>
      <c r="N34" s="42" t="s">
        <v>68</v>
      </c>
      <c r="O34" s="4"/>
    </row>
    <row r="35" spans="1:15" s="7" customFormat="1" ht="49.5" customHeight="1">
      <c r="A35" s="35">
        <f t="shared" si="1"/>
        <v>33</v>
      </c>
      <c r="B35" s="36" t="s">
        <v>93</v>
      </c>
      <c r="C35" s="36" t="s">
        <v>97</v>
      </c>
      <c r="D35" s="36" t="s">
        <v>97</v>
      </c>
      <c r="E35" s="37">
        <v>49674.78</v>
      </c>
      <c r="F35" s="37">
        <v>0</v>
      </c>
      <c r="G35" s="37">
        <f t="shared" si="0"/>
        <v>49674.78</v>
      </c>
      <c r="H35" s="38" t="s">
        <v>98</v>
      </c>
      <c r="I35" s="39">
        <v>232427</v>
      </c>
      <c r="J35" s="39">
        <v>0</v>
      </c>
      <c r="K35" s="41">
        <v>40544</v>
      </c>
      <c r="L35" s="46">
        <v>40908</v>
      </c>
      <c r="M35" s="46" t="s">
        <v>26</v>
      </c>
      <c r="N35" s="42" t="s">
        <v>68</v>
      </c>
      <c r="O35" s="4"/>
    </row>
    <row r="36" spans="1:15" s="7" customFormat="1" ht="49.5" customHeight="1">
      <c r="A36" s="35">
        <f t="shared" si="1"/>
        <v>34</v>
      </c>
      <c r="B36" s="36" t="s">
        <v>93</v>
      </c>
      <c r="C36" s="36" t="s">
        <v>99</v>
      </c>
      <c r="D36" s="36" t="s">
        <v>100</v>
      </c>
      <c r="E36" s="37">
        <v>0</v>
      </c>
      <c r="F36" s="37">
        <v>0</v>
      </c>
      <c r="G36" s="37">
        <f t="shared" si="0"/>
        <v>0</v>
      </c>
      <c r="H36" s="38" t="s">
        <v>101</v>
      </c>
      <c r="I36" s="39">
        <v>12756.3</v>
      </c>
      <c r="J36" s="39">
        <v>12756.3</v>
      </c>
      <c r="K36" s="41">
        <v>40544</v>
      </c>
      <c r="L36" s="46">
        <v>40908</v>
      </c>
      <c r="M36" s="38" t="s">
        <v>26</v>
      </c>
      <c r="N36" s="42" t="s">
        <v>68</v>
      </c>
      <c r="O36" s="4"/>
    </row>
    <row r="37" spans="1:15" s="7" customFormat="1" ht="49.5" customHeight="1">
      <c r="A37" s="35">
        <f t="shared" si="1"/>
        <v>35</v>
      </c>
      <c r="B37" s="36" t="s">
        <v>93</v>
      </c>
      <c r="C37" s="36" t="s">
        <v>102</v>
      </c>
      <c r="D37" s="36" t="s">
        <v>103</v>
      </c>
      <c r="E37" s="37">
        <v>8077.13</v>
      </c>
      <c r="F37" s="37">
        <v>0</v>
      </c>
      <c r="G37" s="37">
        <f t="shared" si="0"/>
        <v>8077.13</v>
      </c>
      <c r="H37" s="38" t="s">
        <v>104</v>
      </c>
      <c r="I37" s="39">
        <v>10750</v>
      </c>
      <c r="J37" s="39">
        <v>0</v>
      </c>
      <c r="K37" s="41">
        <v>40070</v>
      </c>
      <c r="L37" s="46" t="s">
        <v>67</v>
      </c>
      <c r="M37" s="38" t="s">
        <v>26</v>
      </c>
      <c r="N37" s="42" t="s">
        <v>27</v>
      </c>
      <c r="O37" s="4"/>
    </row>
    <row r="38" spans="1:14" s="4" customFormat="1" ht="49.5" customHeight="1">
      <c r="A38" s="35">
        <f t="shared" si="1"/>
        <v>36</v>
      </c>
      <c r="B38" s="36" t="s">
        <v>93</v>
      </c>
      <c r="C38" s="36" t="s">
        <v>105</v>
      </c>
      <c r="D38" s="36" t="s">
        <v>106</v>
      </c>
      <c r="E38" s="47">
        <v>0</v>
      </c>
      <c r="F38" s="37">
        <v>0</v>
      </c>
      <c r="G38" s="37">
        <f t="shared" si="0"/>
        <v>0</v>
      </c>
      <c r="H38" s="38" t="s">
        <v>107</v>
      </c>
      <c r="I38" s="39">
        <v>1276275.58</v>
      </c>
      <c r="J38" s="39">
        <v>255255.12</v>
      </c>
      <c r="K38" s="41">
        <v>40725</v>
      </c>
      <c r="L38" s="46">
        <v>41274</v>
      </c>
      <c r="M38" s="38" t="s">
        <v>26</v>
      </c>
      <c r="N38" s="42" t="s">
        <v>27</v>
      </c>
    </row>
    <row r="39" spans="1:14" s="4" customFormat="1" ht="49.5" customHeight="1">
      <c r="A39" s="35">
        <f t="shared" si="1"/>
        <v>37</v>
      </c>
      <c r="B39" s="36" t="s">
        <v>93</v>
      </c>
      <c r="C39" s="36" t="s">
        <v>105</v>
      </c>
      <c r="D39" s="36" t="s">
        <v>108</v>
      </c>
      <c r="E39" s="47">
        <v>0</v>
      </c>
      <c r="F39" s="37">
        <v>0</v>
      </c>
      <c r="G39" s="37">
        <f t="shared" si="0"/>
        <v>0</v>
      </c>
      <c r="H39" s="38" t="s">
        <v>109</v>
      </c>
      <c r="I39" s="39">
        <v>1316838.4</v>
      </c>
      <c r="J39" s="39">
        <v>263367.68</v>
      </c>
      <c r="K39" s="41">
        <v>40544</v>
      </c>
      <c r="L39" s="46">
        <v>41274</v>
      </c>
      <c r="M39" s="38" t="s">
        <v>26</v>
      </c>
      <c r="N39" s="42" t="s">
        <v>27</v>
      </c>
    </row>
    <row r="40" spans="1:14" s="4" customFormat="1" ht="49.5" customHeight="1">
      <c r="A40" s="35">
        <f t="shared" si="1"/>
        <v>38</v>
      </c>
      <c r="B40" s="36" t="s">
        <v>93</v>
      </c>
      <c r="C40" s="36" t="s">
        <v>228</v>
      </c>
      <c r="D40" s="36" t="s">
        <v>229</v>
      </c>
      <c r="E40" s="47">
        <v>96359.9</v>
      </c>
      <c r="F40" s="37">
        <v>0</v>
      </c>
      <c r="G40" s="37">
        <f t="shared" si="0"/>
        <v>96359.9</v>
      </c>
      <c r="H40" s="38" t="s">
        <v>230</v>
      </c>
      <c r="I40" s="39">
        <v>481799.52</v>
      </c>
      <c r="J40" s="39">
        <v>0</v>
      </c>
      <c r="K40" s="41">
        <v>40725</v>
      </c>
      <c r="L40" s="46">
        <v>41274</v>
      </c>
      <c r="M40" s="38" t="s">
        <v>26</v>
      </c>
      <c r="N40" s="42" t="s">
        <v>27</v>
      </c>
    </row>
    <row r="41" spans="1:14" s="4" customFormat="1" ht="49.5" customHeight="1">
      <c r="A41" s="35">
        <f t="shared" si="1"/>
        <v>39</v>
      </c>
      <c r="B41" s="36" t="s">
        <v>93</v>
      </c>
      <c r="C41" s="36" t="s">
        <v>110</v>
      </c>
      <c r="D41" s="36" t="s">
        <v>111</v>
      </c>
      <c r="E41" s="47">
        <v>214740</v>
      </c>
      <c r="F41" s="37">
        <v>0</v>
      </c>
      <c r="G41" s="37">
        <f t="shared" si="0"/>
        <v>214740</v>
      </c>
      <c r="H41" s="38" t="s">
        <v>112</v>
      </c>
      <c r="I41" s="39">
        <v>644220</v>
      </c>
      <c r="J41" s="39">
        <v>0</v>
      </c>
      <c r="K41" s="41">
        <v>40909</v>
      </c>
      <c r="L41" s="46">
        <v>41639</v>
      </c>
      <c r="M41" s="38" t="s">
        <v>113</v>
      </c>
      <c r="N41" s="42" t="s">
        <v>27</v>
      </c>
    </row>
    <row r="42" spans="1:14" s="4" customFormat="1" ht="49.5" customHeight="1">
      <c r="A42" s="35">
        <f t="shared" si="1"/>
        <v>40</v>
      </c>
      <c r="B42" s="36" t="s">
        <v>93</v>
      </c>
      <c r="C42" s="36" t="s">
        <v>267</v>
      </c>
      <c r="D42" s="36" t="s">
        <v>268</v>
      </c>
      <c r="E42" s="47">
        <v>396871.2</v>
      </c>
      <c r="F42" s="37">
        <v>0</v>
      </c>
      <c r="G42" s="37">
        <f t="shared" si="0"/>
        <v>396871.2</v>
      </c>
      <c r="H42" s="38" t="s">
        <v>269</v>
      </c>
      <c r="I42" s="39">
        <v>0</v>
      </c>
      <c r="J42" s="39">
        <v>0</v>
      </c>
      <c r="K42" s="41">
        <v>40909</v>
      </c>
      <c r="L42" s="46">
        <v>41274</v>
      </c>
      <c r="M42" s="46" t="s">
        <v>26</v>
      </c>
      <c r="N42" s="42" t="s">
        <v>68</v>
      </c>
    </row>
    <row r="43" spans="1:14" s="4" customFormat="1" ht="49.5" customHeight="1">
      <c r="A43" s="35">
        <f t="shared" si="1"/>
        <v>41</v>
      </c>
      <c r="B43" s="36" t="s">
        <v>114</v>
      </c>
      <c r="C43" s="36" t="s">
        <v>115</v>
      </c>
      <c r="D43" s="36" t="s">
        <v>116</v>
      </c>
      <c r="E43" s="37">
        <v>0</v>
      </c>
      <c r="F43" s="37">
        <v>0</v>
      </c>
      <c r="G43" s="37">
        <f t="shared" si="0"/>
        <v>0</v>
      </c>
      <c r="H43" s="38" t="s">
        <v>117</v>
      </c>
      <c r="I43" s="39">
        <v>120000</v>
      </c>
      <c r="J43" s="39">
        <v>120000</v>
      </c>
      <c r="K43" s="41">
        <v>39626</v>
      </c>
      <c r="L43" s="46">
        <v>40629</v>
      </c>
      <c r="M43" s="46" t="s">
        <v>26</v>
      </c>
      <c r="N43" s="42" t="s">
        <v>27</v>
      </c>
    </row>
    <row r="44" spans="1:14" s="4" customFormat="1" ht="49.5" customHeight="1">
      <c r="A44" s="35">
        <f t="shared" si="1"/>
        <v>42</v>
      </c>
      <c r="B44" s="36" t="s">
        <v>118</v>
      </c>
      <c r="C44" s="36" t="s">
        <v>10</v>
      </c>
      <c r="D44" s="36" t="s">
        <v>119</v>
      </c>
      <c r="E44" s="37">
        <v>27319.22</v>
      </c>
      <c r="F44" s="37">
        <v>0</v>
      </c>
      <c r="G44" s="37">
        <f t="shared" si="0"/>
        <v>27319.22</v>
      </c>
      <c r="H44" s="38" t="s">
        <v>120</v>
      </c>
      <c r="I44" s="39">
        <v>50000</v>
      </c>
      <c r="J44" s="39">
        <v>27218.1</v>
      </c>
      <c r="K44" s="41">
        <v>40179</v>
      </c>
      <c r="L44" s="46" t="s">
        <v>67</v>
      </c>
      <c r="M44" s="38" t="s">
        <v>121</v>
      </c>
      <c r="N44" s="42" t="s">
        <v>27</v>
      </c>
    </row>
    <row r="45" spans="1:14" s="4" customFormat="1" ht="49.5" customHeight="1">
      <c r="A45" s="35">
        <f t="shared" si="1"/>
        <v>43</v>
      </c>
      <c r="B45" s="36" t="s">
        <v>118</v>
      </c>
      <c r="C45" s="36" t="s">
        <v>10</v>
      </c>
      <c r="D45" s="36" t="s">
        <v>242</v>
      </c>
      <c r="E45" s="37">
        <f>6284.79+5879.32+5879.32</f>
        <v>18043.43</v>
      </c>
      <c r="F45" s="37">
        <v>0</v>
      </c>
      <c r="G45" s="37">
        <f t="shared" si="0"/>
        <v>18043.43</v>
      </c>
      <c r="H45" s="38" t="s">
        <v>120</v>
      </c>
      <c r="I45" s="39">
        <v>50000</v>
      </c>
      <c r="J45" s="39">
        <v>27218.1</v>
      </c>
      <c r="K45" s="41">
        <v>40179</v>
      </c>
      <c r="L45" s="46" t="s">
        <v>67</v>
      </c>
      <c r="M45" s="38" t="s">
        <v>121</v>
      </c>
      <c r="N45" s="42" t="s">
        <v>27</v>
      </c>
    </row>
    <row r="46" spans="1:14" s="4" customFormat="1" ht="49.5" customHeight="1">
      <c r="A46" s="35">
        <f t="shared" si="1"/>
        <v>44</v>
      </c>
      <c r="B46" s="36" t="s">
        <v>118</v>
      </c>
      <c r="C46" s="36" t="s">
        <v>10</v>
      </c>
      <c r="D46" s="36" t="s">
        <v>122</v>
      </c>
      <c r="E46" s="37">
        <v>0</v>
      </c>
      <c r="F46" s="37">
        <v>0</v>
      </c>
      <c r="G46" s="37">
        <f t="shared" si="0"/>
        <v>0</v>
      </c>
      <c r="H46" s="38" t="s">
        <v>123</v>
      </c>
      <c r="I46" s="39">
        <v>2950</v>
      </c>
      <c r="J46" s="39">
        <v>2950</v>
      </c>
      <c r="K46" s="41">
        <v>40118</v>
      </c>
      <c r="L46" s="46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1"/>
        <v>45</v>
      </c>
      <c r="B47" s="36" t="s">
        <v>118</v>
      </c>
      <c r="C47" s="36" t="s">
        <v>10</v>
      </c>
      <c r="D47" s="36" t="s">
        <v>124</v>
      </c>
      <c r="E47" s="37">
        <v>0</v>
      </c>
      <c r="F47" s="37">
        <v>0</v>
      </c>
      <c r="G47" s="37">
        <f t="shared" si="0"/>
        <v>0</v>
      </c>
      <c r="H47" s="38" t="s">
        <v>123</v>
      </c>
      <c r="I47" s="39">
        <v>900</v>
      </c>
      <c r="J47" s="39">
        <v>925</v>
      </c>
      <c r="K47" s="41">
        <v>40179</v>
      </c>
      <c r="L47" s="46" t="s">
        <v>67</v>
      </c>
      <c r="M47" s="38" t="s">
        <v>26</v>
      </c>
      <c r="N47" s="42" t="s">
        <v>27</v>
      </c>
    </row>
    <row r="48" spans="1:14" s="4" customFormat="1" ht="49.5" customHeight="1">
      <c r="A48" s="35">
        <f t="shared" si="1"/>
        <v>46</v>
      </c>
      <c r="B48" s="36" t="s">
        <v>118</v>
      </c>
      <c r="C48" s="36" t="s">
        <v>10</v>
      </c>
      <c r="D48" s="36" t="s">
        <v>125</v>
      </c>
      <c r="E48" s="37">
        <v>9000</v>
      </c>
      <c r="F48" s="37">
        <v>0</v>
      </c>
      <c r="G48" s="37">
        <f t="shared" si="0"/>
        <v>9000</v>
      </c>
      <c r="H48" s="38" t="s">
        <v>126</v>
      </c>
      <c r="I48" s="39">
        <v>108000</v>
      </c>
      <c r="J48" s="39">
        <v>99000</v>
      </c>
      <c r="K48" s="41">
        <v>40544</v>
      </c>
      <c r="L48" s="46" t="s">
        <v>67</v>
      </c>
      <c r="M48" s="38" t="s">
        <v>26</v>
      </c>
      <c r="N48" s="42" t="s">
        <v>27</v>
      </c>
    </row>
    <row r="49" spans="1:14" s="4" customFormat="1" ht="49.5" customHeight="1">
      <c r="A49" s="35">
        <f t="shared" si="1"/>
        <v>47</v>
      </c>
      <c r="B49" s="36" t="s">
        <v>118</v>
      </c>
      <c r="C49" s="36" t="s">
        <v>10</v>
      </c>
      <c r="D49" s="36" t="s">
        <v>243</v>
      </c>
      <c r="E49" s="37">
        <f>9000+9000+9000</f>
        <v>27000</v>
      </c>
      <c r="F49" s="37">
        <v>0</v>
      </c>
      <c r="G49" s="37">
        <f t="shared" si="0"/>
        <v>27000</v>
      </c>
      <c r="H49" s="38" t="s">
        <v>126</v>
      </c>
      <c r="I49" s="39">
        <v>108000</v>
      </c>
      <c r="J49" s="39">
        <v>0</v>
      </c>
      <c r="K49" s="41">
        <v>40544</v>
      </c>
      <c r="L49" s="46" t="s">
        <v>67</v>
      </c>
      <c r="M49" s="38" t="s">
        <v>26</v>
      </c>
      <c r="N49" s="42" t="s">
        <v>27</v>
      </c>
    </row>
    <row r="50" spans="1:14" s="4" customFormat="1" ht="49.5" customHeight="1">
      <c r="A50" s="35">
        <f t="shared" si="1"/>
        <v>48</v>
      </c>
      <c r="B50" s="36" t="s">
        <v>118</v>
      </c>
      <c r="C50" s="36" t="s">
        <v>10</v>
      </c>
      <c r="D50" s="36" t="s">
        <v>127</v>
      </c>
      <c r="E50" s="37">
        <v>0</v>
      </c>
      <c r="F50" s="37">
        <v>0</v>
      </c>
      <c r="G50" s="37">
        <f t="shared" si="0"/>
        <v>0</v>
      </c>
      <c r="H50" s="38" t="s">
        <v>128</v>
      </c>
      <c r="I50" s="39">
        <v>6000</v>
      </c>
      <c r="J50" s="39">
        <v>6000</v>
      </c>
      <c r="K50" s="41">
        <v>39814</v>
      </c>
      <c r="L50" s="46" t="s">
        <v>67</v>
      </c>
      <c r="M50" s="38" t="s">
        <v>26</v>
      </c>
      <c r="N50" s="42" t="s">
        <v>27</v>
      </c>
    </row>
    <row r="51" spans="1:14" s="4" customFormat="1" ht="49.5" customHeight="1">
      <c r="A51" s="35">
        <f t="shared" si="1"/>
        <v>49</v>
      </c>
      <c r="B51" s="36" t="s">
        <v>118</v>
      </c>
      <c r="C51" s="36" t="s">
        <v>10</v>
      </c>
      <c r="D51" s="36" t="s">
        <v>244</v>
      </c>
      <c r="E51" s="37">
        <v>8793</v>
      </c>
      <c r="F51" s="37">
        <v>0</v>
      </c>
      <c r="G51" s="37">
        <f t="shared" si="0"/>
        <v>8793</v>
      </c>
      <c r="H51" s="38" t="s">
        <v>130</v>
      </c>
      <c r="I51" s="39">
        <v>60300</v>
      </c>
      <c r="J51" s="39">
        <v>50561.25</v>
      </c>
      <c r="K51" s="41" t="s">
        <v>131</v>
      </c>
      <c r="L51" s="46" t="s">
        <v>67</v>
      </c>
      <c r="M51" s="38" t="s">
        <v>26</v>
      </c>
      <c r="N51" s="42" t="s">
        <v>27</v>
      </c>
    </row>
    <row r="52" spans="1:14" s="4" customFormat="1" ht="49.5" customHeight="1">
      <c r="A52" s="35">
        <f t="shared" si="1"/>
        <v>50</v>
      </c>
      <c r="B52" s="36" t="s">
        <v>118</v>
      </c>
      <c r="C52" s="36" t="s">
        <v>10</v>
      </c>
      <c r="D52" s="36" t="s">
        <v>245</v>
      </c>
      <c r="E52" s="37">
        <f>5025+5025</f>
        <v>10050</v>
      </c>
      <c r="F52" s="37">
        <v>0</v>
      </c>
      <c r="G52" s="37">
        <f t="shared" si="0"/>
        <v>10050</v>
      </c>
      <c r="H52" s="38" t="s">
        <v>130</v>
      </c>
      <c r="I52" s="39">
        <v>60300</v>
      </c>
      <c r="J52" s="39">
        <v>0</v>
      </c>
      <c r="K52" s="41" t="s">
        <v>131</v>
      </c>
      <c r="L52" s="46" t="s">
        <v>67</v>
      </c>
      <c r="M52" s="38" t="s">
        <v>26</v>
      </c>
      <c r="N52" s="42" t="s">
        <v>27</v>
      </c>
    </row>
    <row r="53" spans="1:14" s="4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132</v>
      </c>
      <c r="E53" s="37">
        <f>1000</f>
        <v>1000</v>
      </c>
      <c r="F53" s="37">
        <v>0</v>
      </c>
      <c r="G53" s="37">
        <f t="shared" si="0"/>
        <v>1000</v>
      </c>
      <c r="H53" s="38" t="s">
        <v>133</v>
      </c>
      <c r="I53" s="39">
        <v>12000</v>
      </c>
      <c r="J53" s="39">
        <v>11000</v>
      </c>
      <c r="K53" s="41">
        <v>40544</v>
      </c>
      <c r="L53" s="46" t="s">
        <v>67</v>
      </c>
      <c r="M53" s="38" t="s">
        <v>26</v>
      </c>
      <c r="N53" s="42" t="s">
        <v>27</v>
      </c>
    </row>
    <row r="54" spans="1:14" s="4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246</v>
      </c>
      <c r="E54" s="37">
        <f>1000+1000+1000</f>
        <v>3000</v>
      </c>
      <c r="F54" s="37">
        <v>0</v>
      </c>
      <c r="G54" s="37">
        <f t="shared" si="0"/>
        <v>3000</v>
      </c>
      <c r="H54" s="38" t="s">
        <v>133</v>
      </c>
      <c r="I54" s="39">
        <v>12000</v>
      </c>
      <c r="J54" s="39">
        <v>0</v>
      </c>
      <c r="K54" s="41">
        <v>40544</v>
      </c>
      <c r="L54" s="46" t="s">
        <v>67</v>
      </c>
      <c r="M54" s="38" t="s">
        <v>26</v>
      </c>
      <c r="N54" s="42" t="s">
        <v>27</v>
      </c>
    </row>
    <row r="55" spans="1:14" s="4" customFormat="1" ht="49.5" customHeight="1">
      <c r="A55" s="35">
        <f t="shared" si="1"/>
        <v>53</v>
      </c>
      <c r="B55" s="36" t="s">
        <v>118</v>
      </c>
      <c r="C55" s="36" t="s">
        <v>15</v>
      </c>
      <c r="D55" s="36" t="s">
        <v>134</v>
      </c>
      <c r="E55" s="37">
        <f>9000+9000+9000</f>
        <v>27000</v>
      </c>
      <c r="F55" s="37">
        <v>0</v>
      </c>
      <c r="G55" s="37">
        <f t="shared" si="0"/>
        <v>27000</v>
      </c>
      <c r="H55" s="38" t="s">
        <v>135</v>
      </c>
      <c r="I55" s="39">
        <v>108000</v>
      </c>
      <c r="J55" s="39">
        <v>0</v>
      </c>
      <c r="K55" s="41">
        <v>40544</v>
      </c>
      <c r="L55" s="46" t="s">
        <v>67</v>
      </c>
      <c r="M55" s="38" t="s">
        <v>26</v>
      </c>
      <c r="N55" s="42" t="s">
        <v>27</v>
      </c>
    </row>
    <row r="56" spans="1:14" s="4" customFormat="1" ht="49.5" customHeight="1">
      <c r="A56" s="35">
        <f t="shared" si="1"/>
        <v>54</v>
      </c>
      <c r="B56" s="36" t="s">
        <v>118</v>
      </c>
      <c r="C56" s="36" t="s">
        <v>15</v>
      </c>
      <c r="D56" s="36" t="s">
        <v>247</v>
      </c>
      <c r="E56" s="37">
        <f>12500+14700+14700</f>
        <v>41900</v>
      </c>
      <c r="F56" s="37">
        <v>0</v>
      </c>
      <c r="G56" s="37">
        <f t="shared" si="0"/>
        <v>41900</v>
      </c>
      <c r="H56" s="38" t="s">
        <v>137</v>
      </c>
      <c r="I56" s="39">
        <f>12500*12</f>
        <v>150000</v>
      </c>
      <c r="J56" s="39">
        <v>0</v>
      </c>
      <c r="K56" s="41">
        <v>40544</v>
      </c>
      <c r="L56" s="46" t="s">
        <v>67</v>
      </c>
      <c r="M56" s="38" t="s">
        <v>26</v>
      </c>
      <c r="N56" s="42" t="s">
        <v>27</v>
      </c>
    </row>
    <row r="57" spans="1:14" s="4" customFormat="1" ht="49.5" customHeight="1">
      <c r="A57" s="35">
        <f t="shared" si="1"/>
        <v>55</v>
      </c>
      <c r="B57" s="36" t="s">
        <v>118</v>
      </c>
      <c r="C57" s="36" t="s">
        <v>15</v>
      </c>
      <c r="D57" s="36" t="s">
        <v>136</v>
      </c>
      <c r="E57" s="37">
        <v>10300</v>
      </c>
      <c r="F57" s="37">
        <v>0</v>
      </c>
      <c r="G57" s="37">
        <f t="shared" si="0"/>
        <v>10300</v>
      </c>
      <c r="H57" s="38" t="s">
        <v>137</v>
      </c>
      <c r="I57" s="39">
        <f>10300*12</f>
        <v>123600</v>
      </c>
      <c r="J57" s="39">
        <v>113300</v>
      </c>
      <c r="K57" s="41">
        <v>40544</v>
      </c>
      <c r="L57" s="46" t="s">
        <v>67</v>
      </c>
      <c r="M57" s="38" t="s">
        <v>26</v>
      </c>
      <c r="N57" s="42" t="s">
        <v>27</v>
      </c>
    </row>
    <row r="58" spans="1:14" s="4" customFormat="1" ht="49.5" customHeight="1">
      <c r="A58" s="35">
        <f t="shared" si="1"/>
        <v>56</v>
      </c>
      <c r="B58" s="36" t="s">
        <v>118</v>
      </c>
      <c r="C58" s="36" t="s">
        <v>15</v>
      </c>
      <c r="D58" s="36" t="s">
        <v>138</v>
      </c>
      <c r="E58" s="37">
        <v>2200</v>
      </c>
      <c r="F58" s="37">
        <v>0</v>
      </c>
      <c r="G58" s="37">
        <f t="shared" si="0"/>
        <v>2200</v>
      </c>
      <c r="H58" s="38" t="s">
        <v>139</v>
      </c>
      <c r="I58" s="39">
        <v>26400</v>
      </c>
      <c r="J58" s="39">
        <f>11*2200</f>
        <v>24200</v>
      </c>
      <c r="K58" s="41">
        <v>40544</v>
      </c>
      <c r="L58" s="46" t="s">
        <v>67</v>
      </c>
      <c r="M58" s="38" t="s">
        <v>26</v>
      </c>
      <c r="N58" s="42" t="s">
        <v>27</v>
      </c>
    </row>
    <row r="59" spans="1:14" s="4" customFormat="1" ht="49.5" customHeight="1">
      <c r="A59" s="35">
        <f t="shared" si="1"/>
        <v>57</v>
      </c>
      <c r="B59" s="36" t="s">
        <v>118</v>
      </c>
      <c r="C59" s="36" t="s">
        <v>15</v>
      </c>
      <c r="D59" s="36" t="s">
        <v>140</v>
      </c>
      <c r="E59" s="37">
        <f>2835</f>
        <v>2835</v>
      </c>
      <c r="F59" s="37">
        <v>0</v>
      </c>
      <c r="G59" s="37">
        <f t="shared" si="0"/>
        <v>2835</v>
      </c>
      <c r="H59" s="38" t="s">
        <v>141</v>
      </c>
      <c r="I59" s="39">
        <v>34020</v>
      </c>
      <c r="J59" s="39">
        <f>11*2835</f>
        <v>31185</v>
      </c>
      <c r="K59" s="41">
        <v>40544</v>
      </c>
      <c r="L59" s="46" t="s">
        <v>67</v>
      </c>
      <c r="M59" s="38" t="s">
        <v>26</v>
      </c>
      <c r="N59" s="42" t="s">
        <v>27</v>
      </c>
    </row>
    <row r="60" spans="1:14" s="4" customFormat="1" ht="49.5" customHeight="1">
      <c r="A60" s="35">
        <f t="shared" si="1"/>
        <v>58</v>
      </c>
      <c r="B60" s="36" t="s">
        <v>118</v>
      </c>
      <c r="C60" s="36" t="s">
        <v>15</v>
      </c>
      <c r="D60" s="36" t="s">
        <v>248</v>
      </c>
      <c r="E60" s="37">
        <f>2835+2835+2835</f>
        <v>8505</v>
      </c>
      <c r="F60" s="37">
        <v>0</v>
      </c>
      <c r="G60" s="37">
        <f t="shared" si="0"/>
        <v>8505</v>
      </c>
      <c r="H60" s="38" t="s">
        <v>141</v>
      </c>
      <c r="I60" s="39">
        <v>34020</v>
      </c>
      <c r="J60" s="39">
        <v>0</v>
      </c>
      <c r="K60" s="41">
        <v>40544</v>
      </c>
      <c r="L60" s="46" t="s">
        <v>67</v>
      </c>
      <c r="M60" s="38" t="s">
        <v>26</v>
      </c>
      <c r="N60" s="42" t="s">
        <v>27</v>
      </c>
    </row>
    <row r="61" spans="1:14" s="4" customFormat="1" ht="49.5" customHeight="1">
      <c r="A61" s="35">
        <f t="shared" si="1"/>
        <v>59</v>
      </c>
      <c r="B61" s="36" t="s">
        <v>118</v>
      </c>
      <c r="C61" s="36" t="s">
        <v>15</v>
      </c>
      <c r="D61" s="36" t="s">
        <v>234</v>
      </c>
      <c r="E61" s="37">
        <v>0</v>
      </c>
      <c r="F61" s="37">
        <v>0</v>
      </c>
      <c r="G61" s="37">
        <f t="shared" si="0"/>
        <v>0</v>
      </c>
      <c r="H61" s="38" t="s">
        <v>143</v>
      </c>
      <c r="I61" s="39">
        <v>12000</v>
      </c>
      <c r="J61" s="39">
        <v>1000</v>
      </c>
      <c r="K61" s="41">
        <v>40544</v>
      </c>
      <c r="L61" s="46" t="s">
        <v>67</v>
      </c>
      <c r="M61" s="38" t="s">
        <v>26</v>
      </c>
      <c r="N61" s="42" t="s">
        <v>27</v>
      </c>
    </row>
    <row r="62" spans="1:14" s="4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144</v>
      </c>
      <c r="E62" s="37">
        <f>1903.88</f>
        <v>1903.88</v>
      </c>
      <c r="F62" s="37">
        <v>0</v>
      </c>
      <c r="G62" s="37">
        <f t="shared" si="0"/>
        <v>1903.88</v>
      </c>
      <c r="H62" s="38" t="s">
        <v>145</v>
      </c>
      <c r="I62" s="39">
        <v>11450</v>
      </c>
      <c r="J62" s="39">
        <v>0</v>
      </c>
      <c r="K62" s="41">
        <v>40544</v>
      </c>
      <c r="L62" s="46" t="s">
        <v>67</v>
      </c>
      <c r="M62" s="38" t="s">
        <v>26</v>
      </c>
      <c r="N62" s="42" t="s">
        <v>27</v>
      </c>
    </row>
    <row r="63" spans="1:14" s="4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249</v>
      </c>
      <c r="E63" s="37">
        <f>1113.57+1113.57+1113.57</f>
        <v>3340.71</v>
      </c>
      <c r="F63" s="37">
        <v>0</v>
      </c>
      <c r="G63" s="37">
        <f t="shared" si="0"/>
        <v>3340.71</v>
      </c>
      <c r="H63" s="38" t="s">
        <v>145</v>
      </c>
      <c r="I63" s="39">
        <v>11450</v>
      </c>
      <c r="J63" s="39">
        <v>0</v>
      </c>
      <c r="K63" s="41">
        <v>40544</v>
      </c>
      <c r="L63" s="46" t="s">
        <v>67</v>
      </c>
      <c r="M63" s="38" t="s">
        <v>26</v>
      </c>
      <c r="N63" s="42" t="s">
        <v>27</v>
      </c>
    </row>
    <row r="64" spans="1:14" s="4" customFormat="1" ht="49.5" customHeight="1">
      <c r="A64" s="35">
        <f t="shared" si="1"/>
        <v>62</v>
      </c>
      <c r="B64" s="36" t="s">
        <v>118</v>
      </c>
      <c r="C64" s="36" t="s">
        <v>146</v>
      </c>
      <c r="D64" s="36" t="s">
        <v>147</v>
      </c>
      <c r="E64" s="37">
        <v>0</v>
      </c>
      <c r="F64" s="37">
        <v>0</v>
      </c>
      <c r="G64" s="37">
        <f t="shared" si="0"/>
        <v>0</v>
      </c>
      <c r="H64" s="38" t="s">
        <v>148</v>
      </c>
      <c r="I64" s="39">
        <v>480000</v>
      </c>
      <c r="J64" s="39">
        <v>480000</v>
      </c>
      <c r="K64" s="41">
        <v>40141</v>
      </c>
      <c r="L64" s="46">
        <v>41049</v>
      </c>
      <c r="M64" s="38" t="s">
        <v>26</v>
      </c>
      <c r="N64" s="42" t="s">
        <v>27</v>
      </c>
    </row>
    <row r="65" spans="1:14" s="4" customFormat="1" ht="49.5" customHeight="1">
      <c r="A65" s="35">
        <f t="shared" si="1"/>
        <v>63</v>
      </c>
      <c r="B65" s="36" t="s">
        <v>149</v>
      </c>
      <c r="C65" s="75" t="s">
        <v>150</v>
      </c>
      <c r="D65" s="36" t="s">
        <v>151</v>
      </c>
      <c r="E65" s="37">
        <v>0</v>
      </c>
      <c r="F65" s="37">
        <v>0</v>
      </c>
      <c r="G65" s="37">
        <f t="shared" si="0"/>
        <v>0</v>
      </c>
      <c r="H65" s="38" t="s">
        <v>152</v>
      </c>
      <c r="I65" s="39">
        <v>1800000</v>
      </c>
      <c r="J65" s="39">
        <v>1080000</v>
      </c>
      <c r="K65" s="41">
        <v>40638</v>
      </c>
      <c r="L65" s="46">
        <v>41002</v>
      </c>
      <c r="M65" s="38" t="s">
        <v>26</v>
      </c>
      <c r="N65" s="42" t="s">
        <v>68</v>
      </c>
    </row>
    <row r="66" spans="1:14" s="4" customFormat="1" ht="49.5" customHeight="1">
      <c r="A66" s="35">
        <f t="shared" si="1"/>
        <v>64</v>
      </c>
      <c r="B66" s="36" t="s">
        <v>153</v>
      </c>
      <c r="C66" s="75" t="s">
        <v>154</v>
      </c>
      <c r="D66" s="36" t="s">
        <v>155</v>
      </c>
      <c r="E66" s="37">
        <v>0</v>
      </c>
      <c r="F66" s="37">
        <v>0</v>
      </c>
      <c r="G66" s="37">
        <f t="shared" si="0"/>
        <v>0</v>
      </c>
      <c r="H66" s="38" t="s">
        <v>156</v>
      </c>
      <c r="I66" s="39">
        <v>5860725</v>
      </c>
      <c r="J66" s="39">
        <v>5860725</v>
      </c>
      <c r="K66" s="41">
        <v>38884</v>
      </c>
      <c r="L66" s="46">
        <v>40451</v>
      </c>
      <c r="M66" s="38" t="s">
        <v>26</v>
      </c>
      <c r="N66" s="42" t="s">
        <v>27</v>
      </c>
    </row>
    <row r="67" spans="1:14" s="4" customFormat="1" ht="49.5" customHeight="1">
      <c r="A67" s="35">
        <f t="shared" si="1"/>
        <v>65</v>
      </c>
      <c r="B67" s="36" t="s">
        <v>153</v>
      </c>
      <c r="C67" s="75" t="s">
        <v>154</v>
      </c>
      <c r="D67" s="36" t="s">
        <v>157</v>
      </c>
      <c r="E67" s="37">
        <f>723449.59+353122.79+112433.15</f>
        <v>1189005.5299999998</v>
      </c>
      <c r="F67" s="37">
        <v>0</v>
      </c>
      <c r="G67" s="37">
        <f aca="true" t="shared" si="2" ref="G67:G91">E67+F67</f>
        <v>1189005.5299999998</v>
      </c>
      <c r="H67" s="38" t="s">
        <v>158</v>
      </c>
      <c r="I67" s="39">
        <v>4900000</v>
      </c>
      <c r="J67" s="39">
        <f>571422.36+2000142.18</f>
        <v>2571564.54</v>
      </c>
      <c r="K67" s="41">
        <v>39447</v>
      </c>
      <c r="L67" s="46">
        <v>40482</v>
      </c>
      <c r="M67" s="38" t="s">
        <v>159</v>
      </c>
      <c r="N67" s="42" t="s">
        <v>27</v>
      </c>
    </row>
    <row r="68" spans="1:14" s="4" customFormat="1" ht="49.5" customHeight="1">
      <c r="A68" s="35">
        <f aca="true" t="shared" si="3" ref="A68:A91">A67+1</f>
        <v>66</v>
      </c>
      <c r="B68" s="36" t="s">
        <v>153</v>
      </c>
      <c r="C68" s="75" t="s">
        <v>154</v>
      </c>
      <c r="D68" s="36" t="s">
        <v>160</v>
      </c>
      <c r="E68" s="37">
        <v>0</v>
      </c>
      <c r="F68" s="37">
        <v>0</v>
      </c>
      <c r="G68" s="37">
        <f t="shared" si="2"/>
        <v>0</v>
      </c>
      <c r="H68" s="38" t="s">
        <v>161</v>
      </c>
      <c r="I68" s="39">
        <v>8195570</v>
      </c>
      <c r="J68" s="39">
        <f>827000+110901.25+287371.7</f>
        <v>1225272.95</v>
      </c>
      <c r="K68" s="41">
        <v>39447</v>
      </c>
      <c r="L68" s="46">
        <v>40471</v>
      </c>
      <c r="M68" s="38" t="s">
        <v>159</v>
      </c>
      <c r="N68" s="42" t="s">
        <v>27</v>
      </c>
    </row>
    <row r="69" spans="1:14" s="4" customFormat="1" ht="49.5" customHeight="1">
      <c r="A69" s="35">
        <f t="shared" si="3"/>
        <v>67</v>
      </c>
      <c r="B69" s="36" t="s">
        <v>153</v>
      </c>
      <c r="C69" s="75" t="s">
        <v>162</v>
      </c>
      <c r="D69" s="36" t="s">
        <v>163</v>
      </c>
      <c r="E69" s="37">
        <v>0</v>
      </c>
      <c r="F69" s="37">
        <v>0</v>
      </c>
      <c r="G69" s="37">
        <f t="shared" si="2"/>
        <v>0</v>
      </c>
      <c r="H69" s="38" t="s">
        <v>164</v>
      </c>
      <c r="I69" s="39">
        <v>394200</v>
      </c>
      <c r="J69" s="39">
        <v>394200</v>
      </c>
      <c r="K69" s="41">
        <v>40528</v>
      </c>
      <c r="L69" s="46">
        <v>41455</v>
      </c>
      <c r="M69" s="38" t="s">
        <v>26</v>
      </c>
      <c r="N69" s="42" t="s">
        <v>27</v>
      </c>
    </row>
    <row r="70" spans="1:14" s="4" customFormat="1" ht="49.5" customHeight="1">
      <c r="A70" s="35">
        <f t="shared" si="3"/>
        <v>68</v>
      </c>
      <c r="B70" s="36" t="s">
        <v>153</v>
      </c>
      <c r="C70" s="75" t="s">
        <v>162</v>
      </c>
      <c r="D70" s="36" t="s">
        <v>165</v>
      </c>
      <c r="E70" s="37">
        <v>57311.33</v>
      </c>
      <c r="F70" s="37">
        <v>0</v>
      </c>
      <c r="G70" s="37">
        <f t="shared" si="2"/>
        <v>57311.33</v>
      </c>
      <c r="H70" s="38" t="s">
        <v>166</v>
      </c>
      <c r="I70" s="39">
        <v>255740</v>
      </c>
      <c r="J70" s="39">
        <v>86491.27</v>
      </c>
      <c r="K70" s="41">
        <v>40528</v>
      </c>
      <c r="L70" s="46">
        <v>41455</v>
      </c>
      <c r="M70" s="38" t="s">
        <v>26</v>
      </c>
      <c r="N70" s="42" t="s">
        <v>27</v>
      </c>
    </row>
    <row r="71" spans="1:14" s="4" customFormat="1" ht="49.5" customHeight="1">
      <c r="A71" s="35">
        <f t="shared" si="3"/>
        <v>69</v>
      </c>
      <c r="B71" s="36" t="s">
        <v>153</v>
      </c>
      <c r="C71" s="75" t="s">
        <v>162</v>
      </c>
      <c r="D71" s="36" t="s">
        <v>167</v>
      </c>
      <c r="E71" s="37">
        <v>0</v>
      </c>
      <c r="F71" s="37">
        <v>0</v>
      </c>
      <c r="G71" s="37">
        <f t="shared" si="2"/>
        <v>0</v>
      </c>
      <c r="H71" s="38" t="s">
        <v>168</v>
      </c>
      <c r="I71" s="39">
        <v>295300</v>
      </c>
      <c r="J71" s="39">
        <v>103414.06</v>
      </c>
      <c r="K71" s="41">
        <v>40528</v>
      </c>
      <c r="L71" s="46">
        <v>41455</v>
      </c>
      <c r="M71" s="38" t="s">
        <v>26</v>
      </c>
      <c r="N71" s="42" t="s">
        <v>27</v>
      </c>
    </row>
    <row r="72" spans="1:14" s="4" customFormat="1" ht="49.5" customHeight="1">
      <c r="A72" s="35">
        <f t="shared" si="3"/>
        <v>70</v>
      </c>
      <c r="B72" s="36" t="s">
        <v>153</v>
      </c>
      <c r="C72" s="75" t="s">
        <v>162</v>
      </c>
      <c r="D72" s="36" t="s">
        <v>169</v>
      </c>
      <c r="E72" s="37">
        <v>0</v>
      </c>
      <c r="F72" s="37">
        <v>0</v>
      </c>
      <c r="G72" s="37">
        <f t="shared" si="2"/>
        <v>0</v>
      </c>
      <c r="H72" s="38" t="s">
        <v>170</v>
      </c>
      <c r="I72" s="39">
        <v>245850</v>
      </c>
      <c r="J72" s="39">
        <v>85383.7</v>
      </c>
      <c r="K72" s="41">
        <v>40528</v>
      </c>
      <c r="L72" s="46">
        <v>41455</v>
      </c>
      <c r="M72" s="38" t="s">
        <v>26</v>
      </c>
      <c r="N72" s="42" t="s">
        <v>27</v>
      </c>
    </row>
    <row r="73" spans="1:14" s="4" customFormat="1" ht="49.5" customHeight="1">
      <c r="A73" s="35">
        <f t="shared" si="3"/>
        <v>71</v>
      </c>
      <c r="B73" s="36" t="s">
        <v>171</v>
      </c>
      <c r="C73" s="75" t="s">
        <v>172</v>
      </c>
      <c r="D73" s="36" t="s">
        <v>173</v>
      </c>
      <c r="E73" s="37">
        <v>0</v>
      </c>
      <c r="F73" s="37">
        <v>0</v>
      </c>
      <c r="G73" s="37">
        <f t="shared" si="2"/>
        <v>0</v>
      </c>
      <c r="H73" s="38" t="s">
        <v>174</v>
      </c>
      <c r="I73" s="39">
        <v>97500</v>
      </c>
      <c r="J73" s="39">
        <v>48750</v>
      </c>
      <c r="K73" s="41">
        <v>40057</v>
      </c>
      <c r="L73" s="46">
        <v>40452</v>
      </c>
      <c r="M73" s="38" t="s">
        <v>26</v>
      </c>
      <c r="N73" s="42" t="s">
        <v>27</v>
      </c>
    </row>
    <row r="74" spans="1:14" s="4" customFormat="1" ht="49.5" customHeight="1">
      <c r="A74" s="35">
        <f t="shared" si="3"/>
        <v>72</v>
      </c>
      <c r="B74" s="36" t="s">
        <v>175</v>
      </c>
      <c r="C74" s="75" t="s">
        <v>176</v>
      </c>
      <c r="D74" s="75" t="s">
        <v>177</v>
      </c>
      <c r="E74" s="37">
        <v>0</v>
      </c>
      <c r="F74" s="37">
        <v>0</v>
      </c>
      <c r="G74" s="37">
        <f t="shared" si="2"/>
        <v>0</v>
      </c>
      <c r="H74" s="38" t="s">
        <v>178</v>
      </c>
      <c r="I74" s="39">
        <v>146250</v>
      </c>
      <c r="J74" s="39">
        <v>146250</v>
      </c>
      <c r="K74" s="41">
        <v>39812</v>
      </c>
      <c r="L74" s="46">
        <v>40663</v>
      </c>
      <c r="M74" s="38" t="s">
        <v>26</v>
      </c>
      <c r="N74" s="42" t="s">
        <v>27</v>
      </c>
    </row>
    <row r="75" spans="1:14" s="4" customFormat="1" ht="49.5" customHeight="1">
      <c r="A75" s="35">
        <f t="shared" si="3"/>
        <v>73</v>
      </c>
      <c r="B75" s="36" t="s">
        <v>175</v>
      </c>
      <c r="C75" s="75" t="s">
        <v>176</v>
      </c>
      <c r="D75" s="75" t="s">
        <v>179</v>
      </c>
      <c r="E75" s="37">
        <v>0</v>
      </c>
      <c r="F75" s="37">
        <v>0</v>
      </c>
      <c r="G75" s="37">
        <f t="shared" si="2"/>
        <v>0</v>
      </c>
      <c r="H75" s="38" t="s">
        <v>180</v>
      </c>
      <c r="I75" s="39">
        <v>254104.34</v>
      </c>
      <c r="J75" s="39">
        <v>254104.34</v>
      </c>
      <c r="K75" s="41">
        <v>40361</v>
      </c>
      <c r="L75" s="46">
        <v>40723</v>
      </c>
      <c r="M75" s="38" t="s">
        <v>26</v>
      </c>
      <c r="N75" s="42" t="s">
        <v>27</v>
      </c>
    </row>
    <row r="76" spans="1:14" s="4" customFormat="1" ht="49.5" customHeight="1">
      <c r="A76" s="35">
        <f t="shared" si="3"/>
        <v>74</v>
      </c>
      <c r="B76" s="36" t="s">
        <v>181</v>
      </c>
      <c r="C76" s="75" t="s">
        <v>182</v>
      </c>
      <c r="D76" s="36" t="s">
        <v>236</v>
      </c>
      <c r="E76" s="37">
        <v>0</v>
      </c>
      <c r="F76" s="37">
        <v>0</v>
      </c>
      <c r="G76" s="37">
        <f t="shared" si="2"/>
        <v>0</v>
      </c>
      <c r="H76" s="38" t="s">
        <v>184</v>
      </c>
      <c r="I76" s="39">
        <v>72000</v>
      </c>
      <c r="J76" s="39">
        <v>71997.99</v>
      </c>
      <c r="K76" s="41">
        <v>40544</v>
      </c>
      <c r="L76" s="46" t="s">
        <v>67</v>
      </c>
      <c r="M76" s="38" t="s">
        <v>26</v>
      </c>
      <c r="N76" s="42" t="s">
        <v>27</v>
      </c>
    </row>
    <row r="77" spans="1:14" s="4" customFormat="1" ht="49.5" customHeight="1">
      <c r="A77" s="35">
        <f t="shared" si="3"/>
        <v>75</v>
      </c>
      <c r="B77" s="36" t="s">
        <v>181</v>
      </c>
      <c r="C77" s="75" t="s">
        <v>185</v>
      </c>
      <c r="D77" s="36" t="s">
        <v>237</v>
      </c>
      <c r="E77" s="37">
        <v>25000</v>
      </c>
      <c r="F77" s="37">
        <v>0</v>
      </c>
      <c r="G77" s="37">
        <f t="shared" si="2"/>
        <v>25000</v>
      </c>
      <c r="H77" s="38" t="s">
        <v>187</v>
      </c>
      <c r="I77" s="39">
        <v>105000</v>
      </c>
      <c r="J77" s="39">
        <v>82954.57</v>
      </c>
      <c r="K77" s="41">
        <v>40544</v>
      </c>
      <c r="L77" s="46" t="s">
        <v>67</v>
      </c>
      <c r="M77" s="38" t="s">
        <v>26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181</v>
      </c>
      <c r="C78" s="75" t="s">
        <v>188</v>
      </c>
      <c r="D78" s="36" t="s">
        <v>189</v>
      </c>
      <c r="E78" s="37">
        <v>500000</v>
      </c>
      <c r="F78" s="37">
        <v>0</v>
      </c>
      <c r="G78" s="37">
        <f t="shared" si="2"/>
        <v>500000</v>
      </c>
      <c r="H78" s="38" t="s">
        <v>190</v>
      </c>
      <c r="I78" s="39">
        <v>2000000</v>
      </c>
      <c r="J78" s="39">
        <f>200000+1300000</f>
        <v>1500000</v>
      </c>
      <c r="K78" s="41">
        <v>40057</v>
      </c>
      <c r="L78" s="46" t="s">
        <v>67</v>
      </c>
      <c r="M78" s="38" t="s">
        <v>26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181</v>
      </c>
      <c r="C79" s="75" t="s">
        <v>191</v>
      </c>
      <c r="D79" s="36" t="s">
        <v>250</v>
      </c>
      <c r="E79" s="37">
        <f>8800+17600+8800+8800</f>
        <v>44000</v>
      </c>
      <c r="F79" s="37">
        <v>0</v>
      </c>
      <c r="G79" s="37">
        <f t="shared" si="2"/>
        <v>44000</v>
      </c>
      <c r="H79" s="38" t="s">
        <v>193</v>
      </c>
      <c r="I79" s="39">
        <v>105600</v>
      </c>
      <c r="J79" s="39">
        <v>88000</v>
      </c>
      <c r="K79" s="41">
        <v>40544</v>
      </c>
      <c r="L79" s="46" t="s">
        <v>67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181</v>
      </c>
      <c r="C80" s="75" t="s">
        <v>194</v>
      </c>
      <c r="D80" s="36" t="s">
        <v>251</v>
      </c>
      <c r="E80" s="37">
        <f>96652.2+32217.4</f>
        <v>128869.6</v>
      </c>
      <c r="F80" s="37">
        <v>0</v>
      </c>
      <c r="G80" s="37">
        <f t="shared" si="2"/>
        <v>128869.6</v>
      </c>
      <c r="H80" s="38" t="s">
        <v>196</v>
      </c>
      <c r="I80" s="39">
        <v>386608.8</v>
      </c>
      <c r="J80" s="39">
        <v>354391.4</v>
      </c>
      <c r="K80" s="41">
        <v>40544</v>
      </c>
      <c r="L80" s="46" t="s">
        <v>67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181</v>
      </c>
      <c r="C81" s="75" t="s">
        <v>185</v>
      </c>
      <c r="D81" s="36" t="s">
        <v>197</v>
      </c>
      <c r="E81" s="37">
        <v>36000</v>
      </c>
      <c r="F81" s="37">
        <v>0</v>
      </c>
      <c r="G81" s="37">
        <f t="shared" si="2"/>
        <v>36000</v>
      </c>
      <c r="H81" s="38" t="s">
        <v>184</v>
      </c>
      <c r="I81" s="39">
        <v>36000</v>
      </c>
      <c r="J81" s="39">
        <v>0</v>
      </c>
      <c r="K81" s="41">
        <v>40544</v>
      </c>
      <c r="L81" s="46" t="s">
        <v>67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181</v>
      </c>
      <c r="C82" s="75" t="s">
        <v>185</v>
      </c>
      <c r="D82" s="75" t="s">
        <v>198</v>
      </c>
      <c r="E82" s="37">
        <f>4407.62+71493.36</f>
        <v>75900.98</v>
      </c>
      <c r="F82" s="37">
        <v>0</v>
      </c>
      <c r="G82" s="37">
        <f t="shared" si="2"/>
        <v>75900.98</v>
      </c>
      <c r="H82" s="44" t="s">
        <v>184</v>
      </c>
      <c r="I82" s="45">
        <v>245000</v>
      </c>
      <c r="J82" s="45">
        <v>237337.58</v>
      </c>
      <c r="K82" s="41">
        <v>40544</v>
      </c>
      <c r="L82" s="46" t="s">
        <v>67</v>
      </c>
      <c r="M82" s="46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181</v>
      </c>
      <c r="C83" s="75" t="s">
        <v>199</v>
      </c>
      <c r="D83" s="75" t="s">
        <v>200</v>
      </c>
      <c r="E83" s="37">
        <v>0</v>
      </c>
      <c r="F83" s="37">
        <v>0</v>
      </c>
      <c r="G83" s="37">
        <f t="shared" si="2"/>
        <v>0</v>
      </c>
      <c r="H83" s="44" t="s">
        <v>201</v>
      </c>
      <c r="I83" s="45">
        <v>95000</v>
      </c>
      <c r="J83" s="45">
        <v>95000</v>
      </c>
      <c r="K83" s="41">
        <v>40483</v>
      </c>
      <c r="L83" s="46" t="s">
        <v>67</v>
      </c>
      <c r="M83" s="46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181</v>
      </c>
      <c r="C84" s="75" t="s">
        <v>199</v>
      </c>
      <c r="D84" s="75" t="s">
        <v>202</v>
      </c>
      <c r="E84" s="37">
        <v>0</v>
      </c>
      <c r="F84" s="37">
        <v>0</v>
      </c>
      <c r="G84" s="37">
        <f t="shared" si="2"/>
        <v>0</v>
      </c>
      <c r="H84" s="44" t="s">
        <v>201</v>
      </c>
      <c r="I84" s="45">
        <v>30000</v>
      </c>
      <c r="J84" s="45">
        <v>30000</v>
      </c>
      <c r="K84" s="41">
        <v>40483</v>
      </c>
      <c r="L84" s="46" t="s">
        <v>67</v>
      </c>
      <c r="M84" s="46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181</v>
      </c>
      <c r="C85" s="75" t="s">
        <v>199</v>
      </c>
      <c r="D85" s="75" t="s">
        <v>203</v>
      </c>
      <c r="E85" s="37">
        <v>1950</v>
      </c>
      <c r="F85" s="37">
        <v>0</v>
      </c>
      <c r="G85" s="37">
        <f t="shared" si="2"/>
        <v>1950</v>
      </c>
      <c r="H85" s="44" t="s">
        <v>201</v>
      </c>
      <c r="I85" s="45">
        <v>1950</v>
      </c>
      <c r="J85" s="45">
        <v>0</v>
      </c>
      <c r="K85" s="41">
        <v>40878</v>
      </c>
      <c r="L85" s="46" t="s">
        <v>67</v>
      </c>
      <c r="M85" s="46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181</v>
      </c>
      <c r="C86" s="75" t="s">
        <v>204</v>
      </c>
      <c r="D86" s="75" t="s">
        <v>205</v>
      </c>
      <c r="E86" s="37">
        <v>0</v>
      </c>
      <c r="F86" s="37">
        <v>0</v>
      </c>
      <c r="G86" s="37">
        <f t="shared" si="2"/>
        <v>0</v>
      </c>
      <c r="H86" s="44" t="s">
        <v>206</v>
      </c>
      <c r="I86" s="45">
        <v>266666.7</v>
      </c>
      <c r="J86" s="37">
        <v>26666.67</v>
      </c>
      <c r="K86" s="41">
        <v>40544</v>
      </c>
      <c r="L86" s="46" t="s">
        <v>67</v>
      </c>
      <c r="M86" s="46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75" t="s">
        <v>204</v>
      </c>
      <c r="D87" s="75" t="s">
        <v>207</v>
      </c>
      <c r="E87" s="37">
        <v>0</v>
      </c>
      <c r="F87" s="37">
        <v>0</v>
      </c>
      <c r="G87" s="37">
        <f t="shared" si="2"/>
        <v>0</v>
      </c>
      <c r="H87" s="44" t="s">
        <v>208</v>
      </c>
      <c r="I87" s="45">
        <v>200000</v>
      </c>
      <c r="J87" s="37">
        <v>20000</v>
      </c>
      <c r="K87" s="41">
        <v>40544</v>
      </c>
      <c r="L87" s="46" t="s">
        <v>67</v>
      </c>
      <c r="M87" s="46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75" t="s">
        <v>204</v>
      </c>
      <c r="D88" s="75" t="s">
        <v>209</v>
      </c>
      <c r="E88" s="37">
        <v>0</v>
      </c>
      <c r="F88" s="37">
        <v>0</v>
      </c>
      <c r="G88" s="37">
        <f t="shared" si="2"/>
        <v>0</v>
      </c>
      <c r="H88" s="44" t="s">
        <v>210</v>
      </c>
      <c r="I88" s="45">
        <v>400000</v>
      </c>
      <c r="J88" s="37">
        <v>40000</v>
      </c>
      <c r="K88" s="41">
        <v>40544</v>
      </c>
      <c r="L88" s="46" t="s">
        <v>67</v>
      </c>
      <c r="M88" s="46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75" t="s">
        <v>204</v>
      </c>
      <c r="D89" s="75" t="s">
        <v>211</v>
      </c>
      <c r="E89" s="37">
        <v>0</v>
      </c>
      <c r="F89" s="37">
        <v>0</v>
      </c>
      <c r="G89" s="37">
        <f t="shared" si="2"/>
        <v>0</v>
      </c>
      <c r="H89" s="44" t="s">
        <v>212</v>
      </c>
      <c r="I89" s="45">
        <v>200000</v>
      </c>
      <c r="J89" s="37">
        <v>20000</v>
      </c>
      <c r="K89" s="41">
        <v>40544</v>
      </c>
      <c r="L89" s="46" t="s">
        <v>67</v>
      </c>
      <c r="M89" s="46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75" t="s">
        <v>204</v>
      </c>
      <c r="D90" s="75" t="s">
        <v>213</v>
      </c>
      <c r="E90" s="37">
        <v>0</v>
      </c>
      <c r="F90" s="37">
        <v>0</v>
      </c>
      <c r="G90" s="37">
        <f t="shared" si="2"/>
        <v>0</v>
      </c>
      <c r="H90" s="44" t="s">
        <v>214</v>
      </c>
      <c r="I90" s="45">
        <v>200000</v>
      </c>
      <c r="J90" s="37">
        <v>20000</v>
      </c>
      <c r="K90" s="41">
        <v>40544</v>
      </c>
      <c r="L90" s="46" t="s">
        <v>67</v>
      </c>
      <c r="M90" s="46" t="s">
        <v>26</v>
      </c>
      <c r="N90" s="42" t="s">
        <v>27</v>
      </c>
    </row>
    <row r="91" spans="1:14" s="4" customFormat="1" ht="49.5" customHeight="1" thickBot="1">
      <c r="A91" s="48">
        <f t="shared" si="3"/>
        <v>89</v>
      </c>
      <c r="B91" s="49" t="s">
        <v>181</v>
      </c>
      <c r="C91" s="76" t="s">
        <v>252</v>
      </c>
      <c r="D91" s="76" t="s">
        <v>253</v>
      </c>
      <c r="E91" s="50">
        <v>36000</v>
      </c>
      <c r="F91" s="50">
        <v>0</v>
      </c>
      <c r="G91" s="50">
        <f t="shared" si="2"/>
        <v>36000</v>
      </c>
      <c r="H91" s="51" t="s">
        <v>254</v>
      </c>
      <c r="I91" s="52">
        <v>180000</v>
      </c>
      <c r="J91" s="50">
        <v>0</v>
      </c>
      <c r="K91" s="54">
        <v>40909</v>
      </c>
      <c r="L91" s="55" t="s">
        <v>67</v>
      </c>
      <c r="M91" s="55" t="s">
        <v>26</v>
      </c>
      <c r="N91" s="56" t="s">
        <v>27</v>
      </c>
    </row>
    <row r="92" spans="1:14" s="4" customFormat="1" ht="49.5" customHeight="1" thickBot="1" thickTop="1">
      <c r="A92" s="9"/>
      <c r="B92" s="10"/>
      <c r="C92" s="10"/>
      <c r="D92" s="71" t="s">
        <v>215</v>
      </c>
      <c r="E92" s="72">
        <f>SUM(E3:E91)</f>
        <v>6028844.26</v>
      </c>
      <c r="F92" s="72">
        <f>SUM(F3:F91)</f>
        <v>0</v>
      </c>
      <c r="G92" s="73">
        <f>SUM(G3:G91)</f>
        <v>6028844.26</v>
      </c>
      <c r="H92" s="10"/>
      <c r="I92" s="10"/>
      <c r="J92" s="10"/>
      <c r="K92" s="10"/>
      <c r="L92" s="11"/>
      <c r="M92" s="10"/>
      <c r="N92" s="12"/>
    </row>
    <row r="93" ht="13.5" thickTop="1"/>
    <row r="94" spans="1:14" s="15" customFormat="1" ht="12.75">
      <c r="A94" s="13"/>
      <c r="B94" s="14"/>
      <c r="C94" s="14"/>
      <c r="D94" s="25" t="s">
        <v>270</v>
      </c>
      <c r="E94" s="25"/>
      <c r="F94" s="25"/>
      <c r="G94" s="25"/>
      <c r="K94" s="14"/>
      <c r="L94" s="16"/>
      <c r="M94" s="14"/>
      <c r="N94" s="17"/>
    </row>
    <row r="95" spans="2:13" s="15" customFormat="1" ht="12.75">
      <c r="B95" s="22"/>
      <c r="C95" s="22"/>
      <c r="E95" s="22"/>
      <c r="F95" s="22"/>
      <c r="G95" s="22"/>
      <c r="K95" s="22"/>
      <c r="L95" s="22"/>
      <c r="M95" s="22"/>
    </row>
    <row r="96" spans="1:14" s="15" customFormat="1" ht="12.75">
      <c r="A96" s="20"/>
      <c r="B96" s="24" t="s">
        <v>221</v>
      </c>
      <c r="C96" s="24"/>
      <c r="E96" s="23" t="s">
        <v>222</v>
      </c>
      <c r="F96" s="23"/>
      <c r="G96" s="23"/>
      <c r="K96" s="23" t="s">
        <v>223</v>
      </c>
      <c r="L96" s="23"/>
      <c r="M96" s="23"/>
      <c r="N96" s="19"/>
    </row>
    <row r="97" spans="1:14" s="15" customFormat="1" ht="12.75">
      <c r="A97" s="21"/>
      <c r="B97" s="18" t="s">
        <v>224</v>
      </c>
      <c r="C97" s="18"/>
      <c r="E97" s="18" t="s">
        <v>225</v>
      </c>
      <c r="F97" s="18"/>
      <c r="G97" s="18"/>
      <c r="K97" s="18" t="s">
        <v>226</v>
      </c>
      <c r="L97" s="18"/>
      <c r="M97" s="18"/>
      <c r="N97" s="19"/>
    </row>
  </sheetData>
  <sheetProtection selectLockedCells="1" selectUnlockedCells="1"/>
  <mergeCells count="11">
    <mergeCell ref="B97:C97"/>
    <mergeCell ref="E97:G97"/>
    <mergeCell ref="K97:M97"/>
    <mergeCell ref="A1:N1"/>
    <mergeCell ref="D94:G94"/>
    <mergeCell ref="B95:C95"/>
    <mergeCell ref="E95:G95"/>
    <mergeCell ref="K95:M95"/>
    <mergeCell ref="B96:C96"/>
    <mergeCell ref="E96:G96"/>
    <mergeCell ref="K96:M96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v>8415</v>
      </c>
      <c r="H3" s="29" t="s">
        <v>12</v>
      </c>
      <c r="I3" s="30">
        <v>100980</v>
      </c>
      <c r="J3" s="28">
        <v>92565</v>
      </c>
      <c r="K3" s="32">
        <v>40545</v>
      </c>
      <c r="L3" s="74">
        <v>40908</v>
      </c>
      <c r="M3" s="33" t="s">
        <v>13</v>
      </c>
      <c r="N3" s="34" t="s">
        <v>14</v>
      </c>
    </row>
    <row r="4" spans="1:14" s="4" customFormat="1" ht="49.5" customHeight="1">
      <c r="A4" s="35"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v>7150</v>
      </c>
      <c r="H4" s="38" t="s">
        <v>16</v>
      </c>
      <c r="I4" s="39">
        <v>85800</v>
      </c>
      <c r="J4" s="37">
        <v>78650</v>
      </c>
      <c r="K4" s="41">
        <v>40545</v>
      </c>
      <c r="L4" s="46">
        <v>40908</v>
      </c>
      <c r="M4" s="38" t="s">
        <v>13</v>
      </c>
      <c r="N4" s="42" t="s">
        <v>14</v>
      </c>
    </row>
    <row r="5" spans="1:14" s="4" customFormat="1" ht="49.5" customHeight="1">
      <c r="A5" s="35">
        <v>3</v>
      </c>
      <c r="B5" s="36" t="s">
        <v>9</v>
      </c>
      <c r="C5" s="36" t="s">
        <v>10</v>
      </c>
      <c r="D5" s="36" t="s">
        <v>11</v>
      </c>
      <c r="E5" s="37">
        <v>33660</v>
      </c>
      <c r="F5" s="37">
        <v>0</v>
      </c>
      <c r="G5" s="37">
        <v>33660</v>
      </c>
      <c r="H5" s="38" t="s">
        <v>12</v>
      </c>
      <c r="I5" s="39">
        <v>100980</v>
      </c>
      <c r="J5" s="39">
        <v>0</v>
      </c>
      <c r="K5" s="41">
        <v>40910</v>
      </c>
      <c r="L5" s="46">
        <v>41274</v>
      </c>
      <c r="M5" s="38" t="s">
        <v>26</v>
      </c>
      <c r="N5" s="42" t="s">
        <v>14</v>
      </c>
    </row>
    <row r="6" spans="1:14" s="4" customFormat="1" ht="49.5" customHeight="1">
      <c r="A6" s="35">
        <v>4</v>
      </c>
      <c r="B6" s="36" t="s">
        <v>9</v>
      </c>
      <c r="C6" s="36" t="s">
        <v>15</v>
      </c>
      <c r="D6" s="36" t="s">
        <v>11</v>
      </c>
      <c r="E6" s="37">
        <v>28600</v>
      </c>
      <c r="F6" s="37">
        <v>0</v>
      </c>
      <c r="G6" s="37">
        <v>28600</v>
      </c>
      <c r="H6" s="38" t="s">
        <v>16</v>
      </c>
      <c r="I6" s="39">
        <v>85800</v>
      </c>
      <c r="J6" s="37">
        <v>0</v>
      </c>
      <c r="K6" s="41">
        <v>40910</v>
      </c>
      <c r="L6" s="46">
        <v>41274</v>
      </c>
      <c r="M6" s="38" t="s">
        <v>26</v>
      </c>
      <c r="N6" s="42" t="s">
        <v>14</v>
      </c>
    </row>
    <row r="7" spans="1:14" s="4" customFormat="1" ht="49.5" customHeight="1">
      <c r="A7" s="35">
        <v>5</v>
      </c>
      <c r="B7" s="36" t="s">
        <v>17</v>
      </c>
      <c r="C7" s="36" t="s">
        <v>18</v>
      </c>
      <c r="D7" s="36" t="s">
        <v>19</v>
      </c>
      <c r="E7" s="37">
        <v>0</v>
      </c>
      <c r="F7" s="37">
        <v>0</v>
      </c>
      <c r="G7" s="37">
        <v>0</v>
      </c>
      <c r="H7" s="38" t="s">
        <v>20</v>
      </c>
      <c r="I7" s="39">
        <v>2556407.93</v>
      </c>
      <c r="J7" s="39">
        <v>383461.19</v>
      </c>
      <c r="K7" s="41">
        <v>40142</v>
      </c>
      <c r="L7" s="46">
        <v>40872</v>
      </c>
      <c r="M7" s="38" t="s">
        <v>271</v>
      </c>
      <c r="N7" s="42" t="s">
        <v>272</v>
      </c>
    </row>
    <row r="8" spans="1:14" s="4" customFormat="1" ht="49.5" customHeight="1">
      <c r="A8" s="35">
        <v>6</v>
      </c>
      <c r="B8" s="36" t="s">
        <v>17</v>
      </c>
      <c r="C8" s="36" t="s">
        <v>23</v>
      </c>
      <c r="D8" s="36" t="s">
        <v>24</v>
      </c>
      <c r="E8" s="37">
        <v>837681.3</v>
      </c>
      <c r="F8" s="37">
        <v>0</v>
      </c>
      <c r="G8" s="37">
        <v>837681.3</v>
      </c>
      <c r="H8" s="38" t="s">
        <v>25</v>
      </c>
      <c r="I8" s="39">
        <v>2792271</v>
      </c>
      <c r="J8" s="39">
        <v>1396135.5</v>
      </c>
      <c r="K8" s="41">
        <v>39995</v>
      </c>
      <c r="L8" s="46">
        <v>41820</v>
      </c>
      <c r="M8" s="38" t="s">
        <v>26</v>
      </c>
      <c r="N8" s="42" t="s">
        <v>273</v>
      </c>
    </row>
    <row r="9" spans="1:14" s="4" customFormat="1" ht="49.5" customHeight="1">
      <c r="A9" s="35">
        <v>7</v>
      </c>
      <c r="B9" s="36" t="s">
        <v>257</v>
      </c>
      <c r="C9" s="36" t="s">
        <v>258</v>
      </c>
      <c r="D9" s="36" t="s">
        <v>259</v>
      </c>
      <c r="E9" s="37">
        <v>393178</v>
      </c>
      <c r="F9" s="37">
        <v>0</v>
      </c>
      <c r="G9" s="37">
        <v>393178</v>
      </c>
      <c r="H9" s="38" t="s">
        <v>260</v>
      </c>
      <c r="I9" s="39">
        <v>786356</v>
      </c>
      <c r="J9" s="39">
        <v>0</v>
      </c>
      <c r="K9" s="41">
        <v>40957</v>
      </c>
      <c r="L9" s="46">
        <v>41688</v>
      </c>
      <c r="M9" s="38" t="s">
        <v>26</v>
      </c>
      <c r="N9" s="42" t="s">
        <v>68</v>
      </c>
    </row>
    <row r="10" spans="1:14" s="4" customFormat="1" ht="49.5" customHeight="1">
      <c r="A10" s="35">
        <v>8</v>
      </c>
      <c r="B10" s="36" t="s">
        <v>28</v>
      </c>
      <c r="C10" s="75" t="s">
        <v>29</v>
      </c>
      <c r="D10" s="36" t="s">
        <v>30</v>
      </c>
      <c r="E10" s="37">
        <v>0</v>
      </c>
      <c r="F10" s="37">
        <v>0</v>
      </c>
      <c r="G10" s="37">
        <v>0</v>
      </c>
      <c r="H10" s="44" t="s">
        <v>31</v>
      </c>
      <c r="I10" s="45">
        <v>273666.94</v>
      </c>
      <c r="J10" s="45">
        <v>273666.94</v>
      </c>
      <c r="K10" s="41">
        <v>40178</v>
      </c>
      <c r="L10" s="46">
        <v>40542</v>
      </c>
      <c r="M10" s="38" t="s">
        <v>32</v>
      </c>
      <c r="N10" s="42" t="s">
        <v>273</v>
      </c>
    </row>
    <row r="11" spans="1:14" s="4" customFormat="1" ht="49.5" customHeight="1">
      <c r="A11" s="35">
        <v>9</v>
      </c>
      <c r="B11" s="36" t="s">
        <v>28</v>
      </c>
      <c r="C11" s="36" t="s">
        <v>29</v>
      </c>
      <c r="D11" s="36" t="s">
        <v>33</v>
      </c>
      <c r="E11" s="37">
        <v>0</v>
      </c>
      <c r="F11" s="37">
        <v>0</v>
      </c>
      <c r="G11" s="37">
        <v>0</v>
      </c>
      <c r="H11" s="38" t="s">
        <v>34</v>
      </c>
      <c r="I11" s="39">
        <v>1636649.08</v>
      </c>
      <c r="J11" s="39">
        <v>514958.82</v>
      </c>
      <c r="K11" s="41">
        <v>40176</v>
      </c>
      <c r="L11" s="46">
        <v>40722</v>
      </c>
      <c r="M11" s="38" t="s">
        <v>35</v>
      </c>
      <c r="N11" s="42" t="s">
        <v>273</v>
      </c>
    </row>
    <row r="12" spans="1:14" s="4" customFormat="1" ht="49.5" customHeight="1">
      <c r="A12" s="35">
        <v>10</v>
      </c>
      <c r="B12" s="36" t="s">
        <v>28</v>
      </c>
      <c r="C12" s="36" t="s">
        <v>29</v>
      </c>
      <c r="D12" s="36" t="s">
        <v>36</v>
      </c>
      <c r="E12" s="37">
        <v>0</v>
      </c>
      <c r="F12" s="37">
        <v>0</v>
      </c>
      <c r="G12" s="37">
        <v>0</v>
      </c>
      <c r="H12" s="38" t="s">
        <v>37</v>
      </c>
      <c r="I12" s="39">
        <v>1492263.04</v>
      </c>
      <c r="J12" s="39">
        <v>517381.16</v>
      </c>
      <c r="K12" s="41">
        <v>40176</v>
      </c>
      <c r="L12" s="46">
        <v>40905</v>
      </c>
      <c r="M12" s="38" t="s">
        <v>38</v>
      </c>
      <c r="N12" s="42" t="s">
        <v>273</v>
      </c>
    </row>
    <row r="13" spans="1:14" s="4" customFormat="1" ht="49.5" customHeight="1">
      <c r="A13" s="35">
        <v>11</v>
      </c>
      <c r="B13" s="36" t="s">
        <v>28</v>
      </c>
      <c r="C13" s="36" t="s">
        <v>29</v>
      </c>
      <c r="D13" s="36" t="s">
        <v>39</v>
      </c>
      <c r="E13" s="37">
        <v>147662.4</v>
      </c>
      <c r="F13" s="37">
        <v>0</v>
      </c>
      <c r="G13" s="37">
        <v>147662.4</v>
      </c>
      <c r="H13" s="38" t="s">
        <v>40</v>
      </c>
      <c r="I13" s="39">
        <v>322420.94</v>
      </c>
      <c r="J13" s="39">
        <v>174758.54</v>
      </c>
      <c r="K13" s="41">
        <v>40176</v>
      </c>
      <c r="L13" s="46">
        <v>40540</v>
      </c>
      <c r="M13" s="38" t="s">
        <v>32</v>
      </c>
      <c r="N13" s="42" t="s">
        <v>273</v>
      </c>
    </row>
    <row r="14" spans="1:14" s="4" customFormat="1" ht="49.5" customHeight="1">
      <c r="A14" s="35">
        <v>12</v>
      </c>
      <c r="B14" s="36" t="s">
        <v>28</v>
      </c>
      <c r="C14" s="36" t="s">
        <v>29</v>
      </c>
      <c r="D14" s="36" t="s">
        <v>41</v>
      </c>
      <c r="E14" s="37">
        <v>0</v>
      </c>
      <c r="F14" s="37">
        <v>0</v>
      </c>
      <c r="G14" s="37">
        <v>0</v>
      </c>
      <c r="H14" s="38" t="s">
        <v>42</v>
      </c>
      <c r="I14" s="39">
        <v>851408.61</v>
      </c>
      <c r="J14" s="39">
        <v>851408.61</v>
      </c>
      <c r="K14" s="41">
        <v>38890</v>
      </c>
      <c r="L14" s="46">
        <v>40056</v>
      </c>
      <c r="M14" s="38" t="s">
        <v>26</v>
      </c>
      <c r="N14" s="42" t="s">
        <v>273</v>
      </c>
    </row>
    <row r="15" spans="1:14" s="4" customFormat="1" ht="49.5" customHeight="1">
      <c r="A15" s="35">
        <v>13</v>
      </c>
      <c r="B15" s="36" t="s">
        <v>28</v>
      </c>
      <c r="C15" s="36" t="s">
        <v>29</v>
      </c>
      <c r="D15" s="36" t="s">
        <v>43</v>
      </c>
      <c r="E15" s="37">
        <v>140800</v>
      </c>
      <c r="F15" s="37">
        <v>0</v>
      </c>
      <c r="G15" s="37">
        <v>140800</v>
      </c>
      <c r="H15" s="38" t="s">
        <v>44</v>
      </c>
      <c r="I15" s="39">
        <v>352000</v>
      </c>
      <c r="J15" s="39">
        <v>211200</v>
      </c>
      <c r="K15" s="41">
        <v>39633</v>
      </c>
      <c r="L15" s="46">
        <v>39993</v>
      </c>
      <c r="M15" s="38" t="s">
        <v>35</v>
      </c>
      <c r="N15" s="42" t="s">
        <v>273</v>
      </c>
    </row>
    <row r="16" spans="1:14" s="4" customFormat="1" ht="49.5" customHeight="1">
      <c r="A16" s="35">
        <v>14</v>
      </c>
      <c r="B16" s="36" t="s">
        <v>28</v>
      </c>
      <c r="C16" s="36" t="s">
        <v>29</v>
      </c>
      <c r="D16" s="36" t="s">
        <v>45</v>
      </c>
      <c r="E16" s="37">
        <v>0</v>
      </c>
      <c r="F16" s="37">
        <v>0</v>
      </c>
      <c r="G16" s="37">
        <v>0</v>
      </c>
      <c r="H16" s="38" t="s">
        <v>46</v>
      </c>
      <c r="I16" s="39">
        <v>516646.91</v>
      </c>
      <c r="J16" s="39">
        <v>437114.41</v>
      </c>
      <c r="K16" s="41">
        <v>40536</v>
      </c>
      <c r="L16" s="46">
        <v>40900</v>
      </c>
      <c r="M16" s="38" t="s">
        <v>26</v>
      </c>
      <c r="N16" s="42" t="s">
        <v>273</v>
      </c>
    </row>
    <row r="17" spans="1:14" s="4" customFormat="1" ht="49.5" customHeight="1">
      <c r="A17" s="35">
        <v>15</v>
      </c>
      <c r="B17" s="36" t="s">
        <v>28</v>
      </c>
      <c r="C17" s="36" t="s">
        <v>29</v>
      </c>
      <c r="D17" s="36" t="s">
        <v>47</v>
      </c>
      <c r="E17" s="37">
        <v>0</v>
      </c>
      <c r="F17" s="37">
        <v>0</v>
      </c>
      <c r="G17" s="37">
        <v>0</v>
      </c>
      <c r="H17" s="38" t="s">
        <v>48</v>
      </c>
      <c r="I17" s="39">
        <v>100000</v>
      </c>
      <c r="J17" s="39">
        <v>100000</v>
      </c>
      <c r="K17" s="41">
        <v>40177</v>
      </c>
      <c r="L17" s="46">
        <v>40541</v>
      </c>
      <c r="M17" s="38" t="s">
        <v>32</v>
      </c>
      <c r="N17" s="42" t="s">
        <v>273</v>
      </c>
    </row>
    <row r="18" spans="1:14" s="4" customFormat="1" ht="49.5" customHeight="1">
      <c r="A18" s="35">
        <v>16</v>
      </c>
      <c r="B18" s="36" t="s">
        <v>28</v>
      </c>
      <c r="C18" s="36" t="s">
        <v>29</v>
      </c>
      <c r="D18" s="36" t="s">
        <v>49</v>
      </c>
      <c r="E18" s="37">
        <v>0</v>
      </c>
      <c r="F18" s="37">
        <v>0</v>
      </c>
      <c r="G18" s="37">
        <v>0</v>
      </c>
      <c r="H18" s="38" t="s">
        <v>50</v>
      </c>
      <c r="I18" s="39">
        <v>202569.34</v>
      </c>
      <c r="J18" s="39">
        <v>202569.343</v>
      </c>
      <c r="K18" s="41">
        <v>40542</v>
      </c>
      <c r="L18" s="46">
        <v>40907</v>
      </c>
      <c r="M18" s="38" t="s">
        <v>26</v>
      </c>
      <c r="N18" s="42" t="s">
        <v>273</v>
      </c>
    </row>
    <row r="19" spans="1:15" s="7" customFormat="1" ht="49.5" customHeight="1">
      <c r="A19" s="35">
        <v>17</v>
      </c>
      <c r="B19" s="36" t="s">
        <v>28</v>
      </c>
      <c r="C19" s="36" t="s">
        <v>29</v>
      </c>
      <c r="D19" s="36" t="s">
        <v>51</v>
      </c>
      <c r="E19" s="37">
        <v>182038.38</v>
      </c>
      <c r="F19" s="37">
        <v>0</v>
      </c>
      <c r="G19" s="37">
        <v>182038.38</v>
      </c>
      <c r="H19" s="38" t="s">
        <v>52</v>
      </c>
      <c r="I19" s="39">
        <v>3640767.5</v>
      </c>
      <c r="J19" s="39">
        <v>0</v>
      </c>
      <c r="K19" s="41">
        <v>40542</v>
      </c>
      <c r="L19" s="46">
        <v>42001</v>
      </c>
      <c r="M19" s="38" t="s">
        <v>35</v>
      </c>
      <c r="N19" s="42" t="s">
        <v>273</v>
      </c>
      <c r="O19" s="4"/>
    </row>
    <row r="20" spans="1:15" s="7" customFormat="1" ht="49.5" customHeight="1">
      <c r="A20" s="35">
        <v>18</v>
      </c>
      <c r="B20" s="36" t="s">
        <v>53</v>
      </c>
      <c r="C20" s="75" t="s">
        <v>29</v>
      </c>
      <c r="D20" s="36" t="s">
        <v>54</v>
      </c>
      <c r="E20" s="37">
        <v>771437.88</v>
      </c>
      <c r="F20" s="37">
        <v>0</v>
      </c>
      <c r="G20" s="37">
        <v>771437.88</v>
      </c>
      <c r="H20" s="38" t="s">
        <v>55</v>
      </c>
      <c r="I20" s="39">
        <v>771437.88</v>
      </c>
      <c r="J20" s="39">
        <v>0</v>
      </c>
      <c r="K20" s="41">
        <v>40886</v>
      </c>
      <c r="L20" s="46">
        <v>41617</v>
      </c>
      <c r="M20" s="38" t="s">
        <v>35</v>
      </c>
      <c r="N20" s="42" t="s">
        <v>273</v>
      </c>
      <c r="O20" s="4"/>
    </row>
    <row r="21" spans="1:15" s="7" customFormat="1" ht="49.5" customHeight="1">
      <c r="A21" s="35">
        <v>19</v>
      </c>
      <c r="B21" s="36" t="s">
        <v>53</v>
      </c>
      <c r="C21" s="75" t="s">
        <v>29</v>
      </c>
      <c r="D21" s="75" t="s">
        <v>56</v>
      </c>
      <c r="E21" s="37">
        <v>90000</v>
      </c>
      <c r="F21" s="37">
        <v>0</v>
      </c>
      <c r="G21" s="37">
        <v>90000</v>
      </c>
      <c r="H21" s="44" t="s">
        <v>57</v>
      </c>
      <c r="I21" s="45">
        <v>3944386.94</v>
      </c>
      <c r="J21" s="45">
        <v>0</v>
      </c>
      <c r="K21" s="41">
        <v>40904</v>
      </c>
      <c r="L21" s="46">
        <v>42000</v>
      </c>
      <c r="M21" s="38" t="s">
        <v>35</v>
      </c>
      <c r="N21" s="42" t="s">
        <v>273</v>
      </c>
      <c r="O21" s="4"/>
    </row>
    <row r="22" spans="1:15" s="7" customFormat="1" ht="49.5" customHeight="1">
      <c r="A22" s="35">
        <v>20</v>
      </c>
      <c r="B22" s="36" t="s">
        <v>28</v>
      </c>
      <c r="C22" s="75" t="s">
        <v>58</v>
      </c>
      <c r="D22" s="75" t="s">
        <v>59</v>
      </c>
      <c r="E22" s="37">
        <v>0</v>
      </c>
      <c r="F22" s="37">
        <v>0</v>
      </c>
      <c r="G22" s="37">
        <v>0</v>
      </c>
      <c r="H22" s="44" t="s">
        <v>60</v>
      </c>
      <c r="I22" s="45">
        <v>250000</v>
      </c>
      <c r="J22" s="45">
        <v>250000</v>
      </c>
      <c r="K22" s="41">
        <v>40155</v>
      </c>
      <c r="L22" s="46">
        <v>40519</v>
      </c>
      <c r="M22" s="38" t="s">
        <v>26</v>
      </c>
      <c r="N22" s="42" t="s">
        <v>273</v>
      </c>
      <c r="O22" s="4"/>
    </row>
    <row r="23" spans="1:15" s="7" customFormat="1" ht="49.5" customHeight="1">
      <c r="A23" s="35">
        <v>21</v>
      </c>
      <c r="B23" s="36" t="s">
        <v>28</v>
      </c>
      <c r="C23" s="36" t="s">
        <v>58</v>
      </c>
      <c r="D23" s="36" t="s">
        <v>61</v>
      </c>
      <c r="E23" s="37">
        <v>0</v>
      </c>
      <c r="F23" s="37">
        <v>0</v>
      </c>
      <c r="G23" s="37">
        <v>0</v>
      </c>
      <c r="H23" s="38" t="s">
        <v>62</v>
      </c>
      <c r="I23" s="39">
        <v>700000</v>
      </c>
      <c r="J23" s="39">
        <v>486857</v>
      </c>
      <c r="K23" s="41">
        <v>40532</v>
      </c>
      <c r="L23" s="46">
        <v>40711</v>
      </c>
      <c r="M23" s="38" t="s">
        <v>26</v>
      </c>
      <c r="N23" s="42" t="s">
        <v>273</v>
      </c>
      <c r="O23" s="4"/>
    </row>
    <row r="24" spans="1:15" s="7" customFormat="1" ht="49.5" customHeight="1">
      <c r="A24" s="35">
        <v>22</v>
      </c>
      <c r="B24" s="36" t="s">
        <v>28</v>
      </c>
      <c r="C24" s="36" t="s">
        <v>58</v>
      </c>
      <c r="D24" s="36" t="s">
        <v>261</v>
      </c>
      <c r="E24" s="37">
        <v>200000</v>
      </c>
      <c r="F24" s="37">
        <v>0</v>
      </c>
      <c r="G24" s="37">
        <v>200000</v>
      </c>
      <c r="H24" s="38" t="s">
        <v>262</v>
      </c>
      <c r="I24" s="39">
        <v>200000</v>
      </c>
      <c r="J24" s="39">
        <v>0</v>
      </c>
      <c r="K24" s="41">
        <v>41018</v>
      </c>
      <c r="L24" s="46">
        <v>41378</v>
      </c>
      <c r="M24" s="38" t="s">
        <v>26</v>
      </c>
      <c r="N24" s="42" t="s">
        <v>273</v>
      </c>
      <c r="O24" s="4"/>
    </row>
    <row r="25" spans="1:15" s="7" customFormat="1" ht="49.5" customHeight="1">
      <c r="A25" s="35">
        <v>23</v>
      </c>
      <c r="B25" s="36" t="s">
        <v>274</v>
      </c>
      <c r="C25" s="36" t="s">
        <v>275</v>
      </c>
      <c r="D25" s="36" t="s">
        <v>276</v>
      </c>
      <c r="E25" s="37">
        <v>330000</v>
      </c>
      <c r="F25" s="37">
        <v>0</v>
      </c>
      <c r="G25" s="37">
        <v>330000</v>
      </c>
      <c r="H25" s="38" t="s">
        <v>277</v>
      </c>
      <c r="I25" s="39">
        <v>330000</v>
      </c>
      <c r="J25" s="39">
        <v>0</v>
      </c>
      <c r="K25" s="41">
        <v>41019</v>
      </c>
      <c r="L25" s="46">
        <v>41229</v>
      </c>
      <c r="M25" s="38" t="s">
        <v>26</v>
      </c>
      <c r="N25" s="42" t="s">
        <v>68</v>
      </c>
      <c r="O25" s="4"/>
    </row>
    <row r="26" spans="1:15" s="7" customFormat="1" ht="49.5" customHeight="1">
      <c r="A26" s="35">
        <v>24</v>
      </c>
      <c r="B26" s="36" t="s">
        <v>63</v>
      </c>
      <c r="C26" s="36" t="s">
        <v>64</v>
      </c>
      <c r="D26" s="36" t="s">
        <v>65</v>
      </c>
      <c r="E26" s="37">
        <v>47533.89</v>
      </c>
      <c r="F26" s="37">
        <v>0</v>
      </c>
      <c r="G26" s="37">
        <v>47533.89</v>
      </c>
      <c r="H26" s="38" t="s">
        <v>264</v>
      </c>
      <c r="I26" s="39">
        <v>47533.89</v>
      </c>
      <c r="J26" s="39">
        <v>47533.89</v>
      </c>
      <c r="K26" s="41">
        <v>39814</v>
      </c>
      <c r="L26" s="46" t="s">
        <v>67</v>
      </c>
      <c r="M26" s="38" t="s">
        <v>26</v>
      </c>
      <c r="N26" s="42" t="s">
        <v>68</v>
      </c>
      <c r="O26" s="4"/>
    </row>
    <row r="27" spans="1:15" s="7" customFormat="1" ht="49.5" customHeight="1">
      <c r="A27" s="35">
        <v>25</v>
      </c>
      <c r="B27" s="36" t="s">
        <v>63</v>
      </c>
      <c r="C27" s="36" t="s">
        <v>64</v>
      </c>
      <c r="D27" s="36" t="s">
        <v>69</v>
      </c>
      <c r="E27" s="37">
        <v>0</v>
      </c>
      <c r="F27" s="37">
        <v>0</v>
      </c>
      <c r="G27" s="37">
        <v>0</v>
      </c>
      <c r="H27" s="38" t="s">
        <v>264</v>
      </c>
      <c r="I27" s="39">
        <v>9600</v>
      </c>
      <c r="J27" s="39">
        <v>9600</v>
      </c>
      <c r="K27" s="41">
        <v>40303</v>
      </c>
      <c r="L27" s="46" t="s">
        <v>67</v>
      </c>
      <c r="M27" s="38" t="s">
        <v>26</v>
      </c>
      <c r="N27" s="42" t="s">
        <v>68</v>
      </c>
      <c r="O27" s="4"/>
    </row>
    <row r="28" spans="1:15" s="7" customFormat="1" ht="49.5" customHeight="1">
      <c r="A28" s="35">
        <v>26</v>
      </c>
      <c r="B28" s="36" t="s">
        <v>63</v>
      </c>
      <c r="C28" s="36" t="s">
        <v>64</v>
      </c>
      <c r="D28" s="36" t="s">
        <v>263</v>
      </c>
      <c r="E28" s="37">
        <v>5779.03</v>
      </c>
      <c r="F28" s="37">
        <v>0</v>
      </c>
      <c r="G28" s="37">
        <v>5779.03</v>
      </c>
      <c r="H28" s="38" t="s">
        <v>264</v>
      </c>
      <c r="I28" s="39">
        <v>5779.03</v>
      </c>
      <c r="J28" s="39">
        <v>0</v>
      </c>
      <c r="K28" s="41">
        <v>39600</v>
      </c>
      <c r="L28" s="46">
        <v>41274</v>
      </c>
      <c r="M28" s="38" t="s">
        <v>26</v>
      </c>
      <c r="N28" s="42" t="s">
        <v>68</v>
      </c>
      <c r="O28" s="4"/>
    </row>
    <row r="29" spans="1:15" s="7" customFormat="1" ht="49.5" customHeight="1">
      <c r="A29" s="35">
        <v>27</v>
      </c>
      <c r="B29" s="36" t="s">
        <v>63</v>
      </c>
      <c r="C29" s="36" t="s">
        <v>70</v>
      </c>
      <c r="D29" s="36" t="s">
        <v>71</v>
      </c>
      <c r="E29" s="37">
        <v>0</v>
      </c>
      <c r="F29" s="37">
        <v>0</v>
      </c>
      <c r="G29" s="37">
        <v>0</v>
      </c>
      <c r="H29" s="38" t="s">
        <v>72</v>
      </c>
      <c r="I29" s="39">
        <v>70000</v>
      </c>
      <c r="J29" s="39">
        <v>70000</v>
      </c>
      <c r="K29" s="41">
        <v>40540</v>
      </c>
      <c r="L29" s="46">
        <v>40724</v>
      </c>
      <c r="M29" s="38" t="s">
        <v>26</v>
      </c>
      <c r="N29" s="42" t="s">
        <v>68</v>
      </c>
      <c r="O29" s="4"/>
    </row>
    <row r="30" spans="1:15" s="7" customFormat="1" ht="49.5" customHeight="1">
      <c r="A30" s="35">
        <v>28</v>
      </c>
      <c r="B30" s="36" t="s">
        <v>63</v>
      </c>
      <c r="C30" s="36" t="s">
        <v>70</v>
      </c>
      <c r="D30" s="36" t="s">
        <v>73</v>
      </c>
      <c r="E30" s="37">
        <v>0</v>
      </c>
      <c r="F30" s="37">
        <v>0</v>
      </c>
      <c r="G30" s="37">
        <v>0</v>
      </c>
      <c r="H30" s="38" t="s">
        <v>74</v>
      </c>
      <c r="I30" s="39">
        <v>60000</v>
      </c>
      <c r="J30" s="39">
        <v>60000</v>
      </c>
      <c r="K30" s="41">
        <v>40540</v>
      </c>
      <c r="L30" s="46">
        <v>40724</v>
      </c>
      <c r="M30" s="38" t="s">
        <v>26</v>
      </c>
      <c r="N30" s="42" t="s">
        <v>68</v>
      </c>
      <c r="O30" s="4"/>
    </row>
    <row r="31" spans="1:15" s="7" customFormat="1" ht="49.5" customHeight="1">
      <c r="A31" s="35">
        <v>29</v>
      </c>
      <c r="B31" s="75" t="s">
        <v>63</v>
      </c>
      <c r="C31" s="36" t="s">
        <v>75</v>
      </c>
      <c r="D31" s="36" t="s">
        <v>76</v>
      </c>
      <c r="E31" s="37">
        <v>0</v>
      </c>
      <c r="F31" s="37">
        <v>0</v>
      </c>
      <c r="G31" s="37">
        <v>0</v>
      </c>
      <c r="H31" s="38" t="s">
        <v>77</v>
      </c>
      <c r="I31" s="39">
        <v>630000</v>
      </c>
      <c r="J31" s="39">
        <v>630000</v>
      </c>
      <c r="K31" s="41">
        <v>40599</v>
      </c>
      <c r="L31" s="46">
        <v>40908</v>
      </c>
      <c r="M31" s="38" t="s">
        <v>26</v>
      </c>
      <c r="N31" s="42" t="s">
        <v>68</v>
      </c>
      <c r="O31" s="4"/>
    </row>
    <row r="32" spans="1:15" s="7" customFormat="1" ht="49.5" customHeight="1">
      <c r="A32" s="35">
        <v>30</v>
      </c>
      <c r="B32" s="36" t="s">
        <v>63</v>
      </c>
      <c r="C32" s="75" t="s">
        <v>75</v>
      </c>
      <c r="D32" s="75" t="s">
        <v>78</v>
      </c>
      <c r="E32" s="37">
        <v>105000</v>
      </c>
      <c r="F32" s="37">
        <v>0</v>
      </c>
      <c r="G32" s="37">
        <v>105000</v>
      </c>
      <c r="H32" s="44" t="s">
        <v>79</v>
      </c>
      <c r="I32" s="45">
        <v>630000</v>
      </c>
      <c r="J32" s="45">
        <v>525000</v>
      </c>
      <c r="K32" s="41">
        <v>40751</v>
      </c>
      <c r="L32" s="46">
        <v>40908</v>
      </c>
      <c r="M32" s="46" t="s">
        <v>26</v>
      </c>
      <c r="N32" s="42" t="s">
        <v>68</v>
      </c>
      <c r="O32" s="4"/>
    </row>
    <row r="33" spans="1:15" s="7" customFormat="1" ht="49.5" customHeight="1">
      <c r="A33" s="35">
        <v>31</v>
      </c>
      <c r="B33" s="36" t="s">
        <v>63</v>
      </c>
      <c r="C33" s="36" t="s">
        <v>75</v>
      </c>
      <c r="D33" s="36" t="s">
        <v>265</v>
      </c>
      <c r="E33" s="39">
        <v>210000</v>
      </c>
      <c r="F33" s="37">
        <v>0</v>
      </c>
      <c r="G33" s="37">
        <v>210000</v>
      </c>
      <c r="H33" s="44" t="s">
        <v>266</v>
      </c>
      <c r="I33" s="45">
        <v>315000</v>
      </c>
      <c r="J33" s="45">
        <v>0</v>
      </c>
      <c r="K33" s="41">
        <v>40977</v>
      </c>
      <c r="L33" s="46">
        <v>41271</v>
      </c>
      <c r="M33" s="46" t="s">
        <v>26</v>
      </c>
      <c r="N33" s="42" t="s">
        <v>68</v>
      </c>
      <c r="O33" s="4"/>
    </row>
    <row r="34" spans="1:15" s="7" customFormat="1" ht="49.5" customHeight="1">
      <c r="A34" s="35">
        <v>32</v>
      </c>
      <c r="B34" s="36" t="s">
        <v>80</v>
      </c>
      <c r="C34" s="36" t="s">
        <v>81</v>
      </c>
      <c r="D34" s="36" t="s">
        <v>82</v>
      </c>
      <c r="E34" s="37">
        <v>0</v>
      </c>
      <c r="F34" s="37">
        <v>0</v>
      </c>
      <c r="G34" s="37">
        <v>0</v>
      </c>
      <c r="H34" s="38" t="s">
        <v>83</v>
      </c>
      <c r="I34" s="39">
        <v>126000</v>
      </c>
      <c r="J34" s="39">
        <v>113399</v>
      </c>
      <c r="K34" s="41">
        <v>39071</v>
      </c>
      <c r="L34" s="46" t="s">
        <v>84</v>
      </c>
      <c r="M34" s="46" t="s">
        <v>26</v>
      </c>
      <c r="N34" s="42" t="s">
        <v>273</v>
      </c>
      <c r="O34" s="4"/>
    </row>
    <row r="35" spans="1:15" s="7" customFormat="1" ht="49.5" customHeight="1">
      <c r="A35" s="35">
        <v>33</v>
      </c>
      <c r="B35" s="36" t="s">
        <v>85</v>
      </c>
      <c r="C35" s="36" t="s">
        <v>86</v>
      </c>
      <c r="D35" s="36" t="s">
        <v>87</v>
      </c>
      <c r="E35" s="37">
        <v>70619.48</v>
      </c>
      <c r="F35" s="37">
        <v>0</v>
      </c>
      <c r="G35" s="37">
        <v>70619.48</v>
      </c>
      <c r="H35" s="38" t="s">
        <v>88</v>
      </c>
      <c r="I35" s="39">
        <v>85000</v>
      </c>
      <c r="J35" s="39">
        <v>0</v>
      </c>
      <c r="K35" s="41">
        <v>38611</v>
      </c>
      <c r="L35" s="46" t="s">
        <v>67</v>
      </c>
      <c r="M35" s="46" t="s">
        <v>26</v>
      </c>
      <c r="N35" s="42" t="s">
        <v>273</v>
      </c>
      <c r="O35" s="4"/>
    </row>
    <row r="36" spans="1:15" s="7" customFormat="1" ht="49.5" customHeight="1">
      <c r="A36" s="35">
        <v>34</v>
      </c>
      <c r="B36" s="36" t="s">
        <v>89</v>
      </c>
      <c r="C36" s="36" t="s">
        <v>90</v>
      </c>
      <c r="D36" s="36" t="s">
        <v>91</v>
      </c>
      <c r="E36" s="37">
        <v>0</v>
      </c>
      <c r="F36" s="37">
        <v>0</v>
      </c>
      <c r="G36" s="37">
        <v>0</v>
      </c>
      <c r="H36" s="38" t="s">
        <v>92</v>
      </c>
      <c r="I36" s="39">
        <v>292500</v>
      </c>
      <c r="J36" s="39">
        <v>292500</v>
      </c>
      <c r="K36" s="41">
        <v>40350</v>
      </c>
      <c r="L36" s="46">
        <v>40775</v>
      </c>
      <c r="M36" s="38" t="s">
        <v>26</v>
      </c>
      <c r="N36" s="42" t="s">
        <v>273</v>
      </c>
      <c r="O36" s="4"/>
    </row>
    <row r="37" spans="1:15" s="7" customFormat="1" ht="49.5" customHeight="1">
      <c r="A37" s="35">
        <v>35</v>
      </c>
      <c r="B37" s="36" t="s">
        <v>93</v>
      </c>
      <c r="C37" s="36" t="s">
        <v>94</v>
      </c>
      <c r="D37" s="36" t="s">
        <v>95</v>
      </c>
      <c r="E37" s="37">
        <v>539712</v>
      </c>
      <c r="F37" s="37">
        <v>0</v>
      </c>
      <c r="G37" s="37">
        <v>539712</v>
      </c>
      <c r="H37" s="38" t="s">
        <v>96</v>
      </c>
      <c r="I37" s="39">
        <v>1803960</v>
      </c>
      <c r="J37" s="39">
        <v>0</v>
      </c>
      <c r="K37" s="41">
        <v>40544</v>
      </c>
      <c r="L37" s="46">
        <v>40908</v>
      </c>
      <c r="M37" s="38" t="s">
        <v>26</v>
      </c>
      <c r="N37" s="42" t="s">
        <v>68</v>
      </c>
      <c r="O37" s="4"/>
    </row>
    <row r="38" spans="1:14" s="4" customFormat="1" ht="49.5" customHeight="1">
      <c r="A38" s="35">
        <v>36</v>
      </c>
      <c r="B38" s="36" t="s">
        <v>93</v>
      </c>
      <c r="C38" s="36" t="s">
        <v>97</v>
      </c>
      <c r="D38" s="36" t="s">
        <v>97</v>
      </c>
      <c r="E38" s="47">
        <v>49674.78</v>
      </c>
      <c r="F38" s="37">
        <v>0</v>
      </c>
      <c r="G38" s="37">
        <v>49674.78</v>
      </c>
      <c r="H38" s="38" t="s">
        <v>98</v>
      </c>
      <c r="I38" s="39">
        <v>232427</v>
      </c>
      <c r="J38" s="39">
        <v>0</v>
      </c>
      <c r="K38" s="41">
        <v>40544</v>
      </c>
      <c r="L38" s="46">
        <v>40908</v>
      </c>
      <c r="M38" s="38" t="s">
        <v>26</v>
      </c>
      <c r="N38" s="42" t="s">
        <v>68</v>
      </c>
    </row>
    <row r="39" spans="1:14" s="4" customFormat="1" ht="49.5" customHeight="1">
      <c r="A39" s="35">
        <v>37</v>
      </c>
      <c r="B39" s="36" t="s">
        <v>93</v>
      </c>
      <c r="C39" s="36" t="s">
        <v>99</v>
      </c>
      <c r="D39" s="36" t="s">
        <v>100</v>
      </c>
      <c r="E39" s="47">
        <v>0</v>
      </c>
      <c r="F39" s="37">
        <v>0</v>
      </c>
      <c r="G39" s="37">
        <v>0</v>
      </c>
      <c r="H39" s="38" t="s">
        <v>101</v>
      </c>
      <c r="I39" s="39">
        <v>12756.3</v>
      </c>
      <c r="J39" s="39">
        <v>12756.3</v>
      </c>
      <c r="K39" s="41">
        <v>40544</v>
      </c>
      <c r="L39" s="46">
        <v>40908</v>
      </c>
      <c r="M39" s="38" t="s">
        <v>26</v>
      </c>
      <c r="N39" s="42" t="s">
        <v>68</v>
      </c>
    </row>
    <row r="40" spans="1:14" s="4" customFormat="1" ht="49.5" customHeight="1">
      <c r="A40" s="35">
        <v>38</v>
      </c>
      <c r="B40" s="36" t="s">
        <v>93</v>
      </c>
      <c r="C40" s="36" t="s">
        <v>102</v>
      </c>
      <c r="D40" s="36" t="s">
        <v>103</v>
      </c>
      <c r="E40" s="47">
        <v>8077.13</v>
      </c>
      <c r="F40" s="37">
        <v>0</v>
      </c>
      <c r="G40" s="37">
        <v>8077.13</v>
      </c>
      <c r="H40" s="38" t="s">
        <v>104</v>
      </c>
      <c r="I40" s="39">
        <v>10750</v>
      </c>
      <c r="J40" s="39">
        <v>0</v>
      </c>
      <c r="K40" s="41">
        <v>40070</v>
      </c>
      <c r="L40" s="46" t="s">
        <v>67</v>
      </c>
      <c r="M40" s="38" t="s">
        <v>26</v>
      </c>
      <c r="N40" s="42" t="s">
        <v>273</v>
      </c>
    </row>
    <row r="41" spans="1:14" s="4" customFormat="1" ht="49.5" customHeight="1">
      <c r="A41" s="35">
        <v>39</v>
      </c>
      <c r="B41" s="36" t="s">
        <v>93</v>
      </c>
      <c r="C41" s="36" t="s">
        <v>105</v>
      </c>
      <c r="D41" s="36" t="s">
        <v>106</v>
      </c>
      <c r="E41" s="47">
        <v>0</v>
      </c>
      <c r="F41" s="37">
        <v>0</v>
      </c>
      <c r="G41" s="37">
        <v>0</v>
      </c>
      <c r="H41" s="38" t="s">
        <v>107</v>
      </c>
      <c r="I41" s="39">
        <v>1276275.58</v>
      </c>
      <c r="J41" s="39">
        <v>255255.12</v>
      </c>
      <c r="K41" s="41">
        <v>40725</v>
      </c>
      <c r="L41" s="46">
        <v>41274</v>
      </c>
      <c r="M41" s="38" t="s">
        <v>26</v>
      </c>
      <c r="N41" s="42" t="s">
        <v>273</v>
      </c>
    </row>
    <row r="42" spans="1:14" s="4" customFormat="1" ht="49.5" customHeight="1">
      <c r="A42" s="35">
        <v>40</v>
      </c>
      <c r="B42" s="36" t="s">
        <v>93</v>
      </c>
      <c r="C42" s="36" t="s">
        <v>105</v>
      </c>
      <c r="D42" s="36" t="s">
        <v>108</v>
      </c>
      <c r="E42" s="47">
        <v>0</v>
      </c>
      <c r="F42" s="37">
        <v>0</v>
      </c>
      <c r="G42" s="37">
        <v>0</v>
      </c>
      <c r="H42" s="38" t="s">
        <v>109</v>
      </c>
      <c r="I42" s="39">
        <v>1316838.4</v>
      </c>
      <c r="J42" s="39">
        <v>263367.68</v>
      </c>
      <c r="K42" s="41">
        <v>40544</v>
      </c>
      <c r="L42" s="46">
        <v>41274</v>
      </c>
      <c r="M42" s="46" t="s">
        <v>26</v>
      </c>
      <c r="N42" s="42" t="s">
        <v>273</v>
      </c>
    </row>
    <row r="43" spans="1:14" s="4" customFormat="1" ht="49.5" customHeight="1">
      <c r="A43" s="35">
        <v>41</v>
      </c>
      <c r="B43" s="36" t="s">
        <v>93</v>
      </c>
      <c r="C43" s="36" t="s">
        <v>228</v>
      </c>
      <c r="D43" s="36" t="s">
        <v>229</v>
      </c>
      <c r="E43" s="37">
        <v>96359.9</v>
      </c>
      <c r="F43" s="37">
        <v>0</v>
      </c>
      <c r="G43" s="37">
        <v>96359.9</v>
      </c>
      <c r="H43" s="38" t="s">
        <v>230</v>
      </c>
      <c r="I43" s="39">
        <v>481799.52</v>
      </c>
      <c r="J43" s="39">
        <v>0</v>
      </c>
      <c r="K43" s="41">
        <v>40725</v>
      </c>
      <c r="L43" s="46">
        <v>41274</v>
      </c>
      <c r="M43" s="46" t="s">
        <v>26</v>
      </c>
      <c r="N43" s="42" t="s">
        <v>273</v>
      </c>
    </row>
    <row r="44" spans="1:14" s="4" customFormat="1" ht="49.5" customHeight="1">
      <c r="A44" s="35">
        <v>42</v>
      </c>
      <c r="B44" s="36" t="s">
        <v>93</v>
      </c>
      <c r="C44" s="36" t="s">
        <v>110</v>
      </c>
      <c r="D44" s="36" t="s">
        <v>111</v>
      </c>
      <c r="E44" s="37">
        <v>214740</v>
      </c>
      <c r="F44" s="37">
        <v>0</v>
      </c>
      <c r="G44" s="37">
        <v>214740</v>
      </c>
      <c r="H44" s="38" t="s">
        <v>112</v>
      </c>
      <c r="I44" s="39">
        <v>644220</v>
      </c>
      <c r="J44" s="39">
        <v>0</v>
      </c>
      <c r="K44" s="41">
        <v>40909</v>
      </c>
      <c r="L44" s="46">
        <v>41639</v>
      </c>
      <c r="M44" s="38" t="s">
        <v>113</v>
      </c>
      <c r="N44" s="42" t="s">
        <v>273</v>
      </c>
    </row>
    <row r="45" spans="1:14" s="4" customFormat="1" ht="49.5" customHeight="1">
      <c r="A45" s="35">
        <v>43</v>
      </c>
      <c r="B45" s="36" t="s">
        <v>93</v>
      </c>
      <c r="C45" s="36" t="s">
        <v>267</v>
      </c>
      <c r="D45" s="36" t="s">
        <v>268</v>
      </c>
      <c r="E45" s="37">
        <v>396871.2</v>
      </c>
      <c r="F45" s="37">
        <v>0</v>
      </c>
      <c r="G45" s="37">
        <v>396871.2</v>
      </c>
      <c r="H45" s="38" t="s">
        <v>269</v>
      </c>
      <c r="I45" s="39">
        <v>0</v>
      </c>
      <c r="J45" s="39">
        <v>0</v>
      </c>
      <c r="K45" s="41">
        <v>40909</v>
      </c>
      <c r="L45" s="46">
        <v>41274</v>
      </c>
      <c r="M45" s="38" t="s">
        <v>26</v>
      </c>
      <c r="N45" s="42" t="s">
        <v>68</v>
      </c>
    </row>
    <row r="46" spans="1:14" s="4" customFormat="1" ht="49.5" customHeight="1">
      <c r="A46" s="35">
        <v>44</v>
      </c>
      <c r="B46" s="36" t="s">
        <v>114</v>
      </c>
      <c r="C46" s="36" t="s">
        <v>115</v>
      </c>
      <c r="D46" s="36" t="s">
        <v>116</v>
      </c>
      <c r="E46" s="37">
        <v>0</v>
      </c>
      <c r="F46" s="37">
        <v>0</v>
      </c>
      <c r="G46" s="37">
        <v>0</v>
      </c>
      <c r="H46" s="38" t="s">
        <v>117</v>
      </c>
      <c r="I46" s="39">
        <v>120000</v>
      </c>
      <c r="J46" s="39">
        <v>120000</v>
      </c>
      <c r="K46" s="41">
        <v>39626</v>
      </c>
      <c r="L46" s="46">
        <v>40629</v>
      </c>
      <c r="M46" s="38" t="s">
        <v>26</v>
      </c>
      <c r="N46" s="42" t="s">
        <v>273</v>
      </c>
    </row>
    <row r="47" spans="1:14" s="4" customFormat="1" ht="49.5" customHeight="1">
      <c r="A47" s="35">
        <v>45</v>
      </c>
      <c r="B47" s="36" t="s">
        <v>118</v>
      </c>
      <c r="C47" s="36" t="s">
        <v>10</v>
      </c>
      <c r="D47" s="36" t="s">
        <v>119</v>
      </c>
      <c r="E47" s="37">
        <v>27319.22</v>
      </c>
      <c r="F47" s="37">
        <v>0</v>
      </c>
      <c r="G47" s="37">
        <v>27319.22</v>
      </c>
      <c r="H47" s="38" t="s">
        <v>120</v>
      </c>
      <c r="I47" s="39">
        <v>50000</v>
      </c>
      <c r="J47" s="39">
        <v>27218.1</v>
      </c>
      <c r="K47" s="41">
        <v>40179</v>
      </c>
      <c r="L47" s="46" t="s">
        <v>67</v>
      </c>
      <c r="M47" s="38" t="s">
        <v>121</v>
      </c>
      <c r="N47" s="42" t="s">
        <v>273</v>
      </c>
    </row>
    <row r="48" spans="1:14" s="4" customFormat="1" ht="49.5" customHeight="1">
      <c r="A48" s="35">
        <v>46</v>
      </c>
      <c r="B48" s="36" t="s">
        <v>118</v>
      </c>
      <c r="C48" s="36" t="s">
        <v>10</v>
      </c>
      <c r="D48" s="36" t="s">
        <v>242</v>
      </c>
      <c r="E48" s="37">
        <v>18043.43</v>
      </c>
      <c r="F48" s="37">
        <v>0</v>
      </c>
      <c r="G48" s="37">
        <v>18043.43</v>
      </c>
      <c r="H48" s="38" t="s">
        <v>120</v>
      </c>
      <c r="I48" s="39">
        <v>50000</v>
      </c>
      <c r="J48" s="39">
        <v>27218.1</v>
      </c>
      <c r="K48" s="41">
        <v>40179</v>
      </c>
      <c r="L48" s="46" t="s">
        <v>67</v>
      </c>
      <c r="M48" s="38" t="s">
        <v>121</v>
      </c>
      <c r="N48" s="42" t="s">
        <v>273</v>
      </c>
    </row>
    <row r="49" spans="1:14" s="4" customFormat="1" ht="49.5" customHeight="1">
      <c r="A49" s="35">
        <v>47</v>
      </c>
      <c r="B49" s="36" t="s">
        <v>118</v>
      </c>
      <c r="C49" s="36" t="s">
        <v>10</v>
      </c>
      <c r="D49" s="36" t="s">
        <v>122</v>
      </c>
      <c r="E49" s="37">
        <v>0</v>
      </c>
      <c r="F49" s="37">
        <v>0</v>
      </c>
      <c r="G49" s="37">
        <v>0</v>
      </c>
      <c r="H49" s="38" t="s">
        <v>123</v>
      </c>
      <c r="I49" s="39">
        <v>2950</v>
      </c>
      <c r="J49" s="39">
        <v>2950</v>
      </c>
      <c r="K49" s="41">
        <v>40118</v>
      </c>
      <c r="L49" s="46" t="s">
        <v>67</v>
      </c>
      <c r="M49" s="38" t="s">
        <v>26</v>
      </c>
      <c r="N49" s="42" t="s">
        <v>273</v>
      </c>
    </row>
    <row r="50" spans="1:14" s="4" customFormat="1" ht="49.5" customHeight="1">
      <c r="A50" s="35">
        <v>48</v>
      </c>
      <c r="B50" s="36" t="s">
        <v>118</v>
      </c>
      <c r="C50" s="36" t="s">
        <v>10</v>
      </c>
      <c r="D50" s="36" t="s">
        <v>124</v>
      </c>
      <c r="E50" s="37">
        <v>0</v>
      </c>
      <c r="F50" s="37">
        <v>0</v>
      </c>
      <c r="G50" s="37">
        <v>0</v>
      </c>
      <c r="H50" s="38" t="s">
        <v>123</v>
      </c>
      <c r="I50" s="39">
        <v>900</v>
      </c>
      <c r="J50" s="39">
        <v>925</v>
      </c>
      <c r="K50" s="41">
        <v>40179</v>
      </c>
      <c r="L50" s="46" t="s">
        <v>67</v>
      </c>
      <c r="M50" s="38" t="s">
        <v>26</v>
      </c>
      <c r="N50" s="42" t="s">
        <v>273</v>
      </c>
    </row>
    <row r="51" spans="1:14" s="4" customFormat="1" ht="49.5" customHeight="1">
      <c r="A51" s="35">
        <v>49</v>
      </c>
      <c r="B51" s="36" t="s">
        <v>118</v>
      </c>
      <c r="C51" s="36" t="s">
        <v>10</v>
      </c>
      <c r="D51" s="36" t="s">
        <v>125</v>
      </c>
      <c r="E51" s="37">
        <v>9000</v>
      </c>
      <c r="F51" s="37">
        <v>0</v>
      </c>
      <c r="G51" s="37">
        <v>9000</v>
      </c>
      <c r="H51" s="38" t="s">
        <v>126</v>
      </c>
      <c r="I51" s="39">
        <v>108000</v>
      </c>
      <c r="J51" s="39">
        <v>99000</v>
      </c>
      <c r="K51" s="41">
        <v>40544</v>
      </c>
      <c r="L51" s="46" t="s">
        <v>67</v>
      </c>
      <c r="M51" s="38" t="s">
        <v>26</v>
      </c>
      <c r="N51" s="42" t="s">
        <v>273</v>
      </c>
    </row>
    <row r="52" spans="1:14" s="4" customFormat="1" ht="49.5" customHeight="1">
      <c r="A52" s="35">
        <v>50</v>
      </c>
      <c r="B52" s="36" t="s">
        <v>118</v>
      </c>
      <c r="C52" s="36" t="s">
        <v>10</v>
      </c>
      <c r="D52" s="36" t="s">
        <v>243</v>
      </c>
      <c r="E52" s="37">
        <v>36000</v>
      </c>
      <c r="F52" s="37">
        <v>0</v>
      </c>
      <c r="G52" s="37">
        <v>36000</v>
      </c>
      <c r="H52" s="38" t="s">
        <v>126</v>
      </c>
      <c r="I52" s="39">
        <v>108000</v>
      </c>
      <c r="J52" s="39">
        <v>0</v>
      </c>
      <c r="K52" s="41">
        <v>40544</v>
      </c>
      <c r="L52" s="46" t="s">
        <v>67</v>
      </c>
      <c r="M52" s="38" t="s">
        <v>26</v>
      </c>
      <c r="N52" s="42" t="s">
        <v>273</v>
      </c>
    </row>
    <row r="53" spans="1:14" s="4" customFormat="1" ht="49.5" customHeight="1">
      <c r="A53" s="35">
        <v>51</v>
      </c>
      <c r="B53" s="36" t="s">
        <v>118</v>
      </c>
      <c r="C53" s="36" t="s">
        <v>10</v>
      </c>
      <c r="D53" s="36" t="s">
        <v>127</v>
      </c>
      <c r="E53" s="37">
        <v>0</v>
      </c>
      <c r="F53" s="37">
        <v>0</v>
      </c>
      <c r="G53" s="37">
        <v>0</v>
      </c>
      <c r="H53" s="38" t="s">
        <v>128</v>
      </c>
      <c r="I53" s="39">
        <v>6000</v>
      </c>
      <c r="J53" s="39">
        <v>6000</v>
      </c>
      <c r="K53" s="41">
        <v>39814</v>
      </c>
      <c r="L53" s="46" t="s">
        <v>67</v>
      </c>
      <c r="M53" s="38" t="s">
        <v>26</v>
      </c>
      <c r="N53" s="42" t="s">
        <v>273</v>
      </c>
    </row>
    <row r="54" spans="1:14" s="4" customFormat="1" ht="49.5" customHeight="1">
      <c r="A54" s="35">
        <v>52</v>
      </c>
      <c r="B54" s="36" t="s">
        <v>118</v>
      </c>
      <c r="C54" s="36" t="s">
        <v>10</v>
      </c>
      <c r="D54" s="36" t="s">
        <v>244</v>
      </c>
      <c r="E54" s="37">
        <v>8793</v>
      </c>
      <c r="F54" s="37">
        <v>0</v>
      </c>
      <c r="G54" s="37">
        <v>8793</v>
      </c>
      <c r="H54" s="38" t="s">
        <v>130</v>
      </c>
      <c r="I54" s="39">
        <v>60300</v>
      </c>
      <c r="J54" s="39">
        <v>50561.25</v>
      </c>
      <c r="K54" s="41" t="s">
        <v>131</v>
      </c>
      <c r="L54" s="46" t="s">
        <v>67</v>
      </c>
      <c r="M54" s="38" t="s">
        <v>26</v>
      </c>
      <c r="N54" s="42" t="s">
        <v>273</v>
      </c>
    </row>
    <row r="55" spans="1:14" s="4" customFormat="1" ht="49.5" customHeight="1">
      <c r="A55" s="35">
        <v>53</v>
      </c>
      <c r="B55" s="36" t="s">
        <v>118</v>
      </c>
      <c r="C55" s="36" t="s">
        <v>10</v>
      </c>
      <c r="D55" s="36" t="s">
        <v>245</v>
      </c>
      <c r="E55" s="37">
        <v>15075</v>
      </c>
      <c r="F55" s="37">
        <v>0</v>
      </c>
      <c r="G55" s="37">
        <v>15075</v>
      </c>
      <c r="H55" s="38" t="s">
        <v>130</v>
      </c>
      <c r="I55" s="39">
        <v>60300</v>
      </c>
      <c r="J55" s="39">
        <v>0</v>
      </c>
      <c r="K55" s="41" t="s">
        <v>131</v>
      </c>
      <c r="L55" s="46" t="s">
        <v>67</v>
      </c>
      <c r="M55" s="38" t="s">
        <v>26</v>
      </c>
      <c r="N55" s="42" t="s">
        <v>273</v>
      </c>
    </row>
    <row r="56" spans="1:14" s="4" customFormat="1" ht="49.5" customHeight="1">
      <c r="A56" s="35">
        <v>54</v>
      </c>
      <c r="B56" s="36" t="s">
        <v>118</v>
      </c>
      <c r="C56" s="36" t="s">
        <v>10</v>
      </c>
      <c r="D56" s="36" t="s">
        <v>132</v>
      </c>
      <c r="E56" s="37">
        <v>1000</v>
      </c>
      <c r="F56" s="37">
        <v>0</v>
      </c>
      <c r="G56" s="37">
        <v>1000</v>
      </c>
      <c r="H56" s="38" t="s">
        <v>133</v>
      </c>
      <c r="I56" s="39">
        <v>12000</v>
      </c>
      <c r="J56" s="39">
        <v>11000</v>
      </c>
      <c r="K56" s="41">
        <v>40544</v>
      </c>
      <c r="L56" s="46" t="s">
        <v>67</v>
      </c>
      <c r="M56" s="38" t="s">
        <v>26</v>
      </c>
      <c r="N56" s="42" t="s">
        <v>273</v>
      </c>
    </row>
    <row r="57" spans="1:14" s="4" customFormat="1" ht="49.5" customHeight="1">
      <c r="A57" s="35">
        <v>55</v>
      </c>
      <c r="B57" s="36" t="s">
        <v>118</v>
      </c>
      <c r="C57" s="36" t="s">
        <v>10</v>
      </c>
      <c r="D57" s="36" t="s">
        <v>246</v>
      </c>
      <c r="E57" s="37">
        <v>4000</v>
      </c>
      <c r="F57" s="37">
        <v>0</v>
      </c>
      <c r="G57" s="37">
        <v>4000</v>
      </c>
      <c r="H57" s="38" t="s">
        <v>133</v>
      </c>
      <c r="I57" s="39">
        <v>12000</v>
      </c>
      <c r="J57" s="39">
        <v>0</v>
      </c>
      <c r="K57" s="41">
        <v>40544</v>
      </c>
      <c r="L57" s="46" t="s">
        <v>67</v>
      </c>
      <c r="M57" s="38" t="s">
        <v>26</v>
      </c>
      <c r="N57" s="42" t="s">
        <v>273</v>
      </c>
    </row>
    <row r="58" spans="1:14" s="4" customFormat="1" ht="49.5" customHeight="1">
      <c r="A58" s="35">
        <v>56</v>
      </c>
      <c r="B58" s="36" t="s">
        <v>118</v>
      </c>
      <c r="C58" s="36" t="s">
        <v>15</v>
      </c>
      <c r="D58" s="36" t="s">
        <v>134</v>
      </c>
      <c r="E58" s="37">
        <v>36000</v>
      </c>
      <c r="F58" s="37">
        <v>0</v>
      </c>
      <c r="G58" s="37">
        <v>36000</v>
      </c>
      <c r="H58" s="38" t="s">
        <v>135</v>
      </c>
      <c r="I58" s="39">
        <v>108000</v>
      </c>
      <c r="J58" s="39">
        <v>0</v>
      </c>
      <c r="K58" s="41">
        <v>40544</v>
      </c>
      <c r="L58" s="46" t="s">
        <v>67</v>
      </c>
      <c r="M58" s="38" t="s">
        <v>26</v>
      </c>
      <c r="N58" s="42" t="s">
        <v>273</v>
      </c>
    </row>
    <row r="59" spans="1:14" s="4" customFormat="1" ht="49.5" customHeight="1">
      <c r="A59" s="35">
        <v>57</v>
      </c>
      <c r="B59" s="36" t="s">
        <v>118</v>
      </c>
      <c r="C59" s="36" t="s">
        <v>15</v>
      </c>
      <c r="D59" s="36" t="s">
        <v>247</v>
      </c>
      <c r="E59" s="37">
        <v>41900</v>
      </c>
      <c r="F59" s="37">
        <v>0</v>
      </c>
      <c r="G59" s="37">
        <v>41900</v>
      </c>
      <c r="H59" s="38" t="s">
        <v>137</v>
      </c>
      <c r="I59" s="39">
        <v>150000</v>
      </c>
      <c r="J59" s="39">
        <v>0</v>
      </c>
      <c r="K59" s="41">
        <v>40544</v>
      </c>
      <c r="L59" s="46" t="s">
        <v>67</v>
      </c>
      <c r="M59" s="38" t="s">
        <v>26</v>
      </c>
      <c r="N59" s="42" t="s">
        <v>273</v>
      </c>
    </row>
    <row r="60" spans="1:14" s="4" customFormat="1" ht="49.5" customHeight="1">
      <c r="A60" s="35">
        <v>58</v>
      </c>
      <c r="B60" s="36" t="s">
        <v>118</v>
      </c>
      <c r="C60" s="36" t="s">
        <v>15</v>
      </c>
      <c r="D60" s="36" t="s">
        <v>136</v>
      </c>
      <c r="E60" s="37">
        <v>10300</v>
      </c>
      <c r="F60" s="37">
        <v>0</v>
      </c>
      <c r="G60" s="37">
        <v>10300</v>
      </c>
      <c r="H60" s="38" t="s">
        <v>137</v>
      </c>
      <c r="I60" s="39">
        <v>123600</v>
      </c>
      <c r="J60" s="39">
        <v>113300</v>
      </c>
      <c r="K60" s="41">
        <v>40544</v>
      </c>
      <c r="L60" s="46" t="s">
        <v>67</v>
      </c>
      <c r="M60" s="38" t="s">
        <v>26</v>
      </c>
      <c r="N60" s="42" t="s">
        <v>273</v>
      </c>
    </row>
    <row r="61" spans="1:14" s="4" customFormat="1" ht="49.5" customHeight="1">
      <c r="A61" s="35">
        <v>59</v>
      </c>
      <c r="B61" s="36" t="s">
        <v>118</v>
      </c>
      <c r="C61" s="36" t="s">
        <v>15</v>
      </c>
      <c r="D61" s="36" t="s">
        <v>138</v>
      </c>
      <c r="E61" s="37">
        <v>2200</v>
      </c>
      <c r="F61" s="37">
        <v>0</v>
      </c>
      <c r="G61" s="37">
        <v>2200</v>
      </c>
      <c r="H61" s="38" t="s">
        <v>139</v>
      </c>
      <c r="I61" s="39">
        <v>26400</v>
      </c>
      <c r="J61" s="39">
        <v>24200</v>
      </c>
      <c r="K61" s="41">
        <v>40544</v>
      </c>
      <c r="L61" s="46" t="s">
        <v>67</v>
      </c>
      <c r="M61" s="38" t="s">
        <v>26</v>
      </c>
      <c r="N61" s="42" t="s">
        <v>273</v>
      </c>
    </row>
    <row r="62" spans="1:14" s="4" customFormat="1" ht="49.5" customHeight="1">
      <c r="A62" s="35">
        <v>60</v>
      </c>
      <c r="B62" s="36" t="s">
        <v>118</v>
      </c>
      <c r="C62" s="36" t="s">
        <v>15</v>
      </c>
      <c r="D62" s="36" t="s">
        <v>140</v>
      </c>
      <c r="E62" s="37">
        <v>2835</v>
      </c>
      <c r="F62" s="37">
        <v>0</v>
      </c>
      <c r="G62" s="37">
        <v>2835</v>
      </c>
      <c r="H62" s="38" t="s">
        <v>141</v>
      </c>
      <c r="I62" s="39">
        <v>34020</v>
      </c>
      <c r="J62" s="39">
        <v>31185</v>
      </c>
      <c r="K62" s="41">
        <v>40544</v>
      </c>
      <c r="L62" s="46" t="s">
        <v>67</v>
      </c>
      <c r="M62" s="38" t="s">
        <v>26</v>
      </c>
      <c r="N62" s="42" t="s">
        <v>273</v>
      </c>
    </row>
    <row r="63" spans="1:14" s="4" customFormat="1" ht="49.5" customHeight="1">
      <c r="A63" s="35">
        <v>61</v>
      </c>
      <c r="B63" s="36" t="s">
        <v>118</v>
      </c>
      <c r="C63" s="36" t="s">
        <v>15</v>
      </c>
      <c r="D63" s="36" t="s">
        <v>248</v>
      </c>
      <c r="E63" s="37">
        <v>8505</v>
      </c>
      <c r="F63" s="37">
        <v>0</v>
      </c>
      <c r="G63" s="37">
        <v>8505</v>
      </c>
      <c r="H63" s="38" t="s">
        <v>141</v>
      </c>
      <c r="I63" s="39">
        <v>34020</v>
      </c>
      <c r="J63" s="39">
        <v>0</v>
      </c>
      <c r="K63" s="41">
        <v>40544</v>
      </c>
      <c r="L63" s="46" t="s">
        <v>67</v>
      </c>
      <c r="M63" s="38" t="s">
        <v>26</v>
      </c>
      <c r="N63" s="42" t="s">
        <v>273</v>
      </c>
    </row>
    <row r="64" spans="1:14" s="4" customFormat="1" ht="49.5" customHeight="1">
      <c r="A64" s="35">
        <v>62</v>
      </c>
      <c r="B64" s="36" t="s">
        <v>118</v>
      </c>
      <c r="C64" s="36" t="s">
        <v>15</v>
      </c>
      <c r="D64" s="36" t="s">
        <v>278</v>
      </c>
      <c r="E64" s="37">
        <v>0</v>
      </c>
      <c r="F64" s="37">
        <v>0</v>
      </c>
      <c r="G64" s="37">
        <v>0</v>
      </c>
      <c r="H64" s="38" t="s">
        <v>143</v>
      </c>
      <c r="I64" s="39">
        <v>12000</v>
      </c>
      <c r="J64" s="39">
        <v>1000</v>
      </c>
      <c r="K64" s="41">
        <v>40544</v>
      </c>
      <c r="L64" s="46" t="s">
        <v>67</v>
      </c>
      <c r="M64" s="38" t="s">
        <v>26</v>
      </c>
      <c r="N64" s="42" t="s">
        <v>273</v>
      </c>
    </row>
    <row r="65" spans="1:14" s="4" customFormat="1" ht="49.5" customHeight="1">
      <c r="A65" s="35">
        <v>63</v>
      </c>
      <c r="B65" s="36" t="s">
        <v>118</v>
      </c>
      <c r="C65" s="75" t="s">
        <v>10</v>
      </c>
      <c r="D65" s="36" t="s">
        <v>144</v>
      </c>
      <c r="E65" s="37">
        <v>3807.76</v>
      </c>
      <c r="F65" s="37">
        <v>0</v>
      </c>
      <c r="G65" s="37">
        <v>3807.76</v>
      </c>
      <c r="H65" s="38" t="s">
        <v>145</v>
      </c>
      <c r="I65" s="39">
        <v>11450</v>
      </c>
      <c r="J65" s="39">
        <v>0</v>
      </c>
      <c r="K65" s="41">
        <v>40544</v>
      </c>
      <c r="L65" s="46" t="s">
        <v>67</v>
      </c>
      <c r="M65" s="38" t="s">
        <v>26</v>
      </c>
      <c r="N65" s="42" t="s">
        <v>273</v>
      </c>
    </row>
    <row r="66" spans="1:14" s="4" customFormat="1" ht="49.5" customHeight="1">
      <c r="A66" s="35">
        <v>64</v>
      </c>
      <c r="B66" s="36" t="s">
        <v>118</v>
      </c>
      <c r="C66" s="75" t="s">
        <v>10</v>
      </c>
      <c r="D66" s="36" t="s">
        <v>249</v>
      </c>
      <c r="E66" s="37">
        <v>4454.28</v>
      </c>
      <c r="F66" s="37">
        <v>0</v>
      </c>
      <c r="G66" s="37">
        <v>4454.28</v>
      </c>
      <c r="H66" s="38" t="s">
        <v>145</v>
      </c>
      <c r="I66" s="39">
        <v>11450</v>
      </c>
      <c r="J66" s="39">
        <v>0</v>
      </c>
      <c r="K66" s="41">
        <v>40544</v>
      </c>
      <c r="L66" s="46" t="s">
        <v>67</v>
      </c>
      <c r="M66" s="38" t="s">
        <v>26</v>
      </c>
      <c r="N66" s="42" t="s">
        <v>273</v>
      </c>
    </row>
    <row r="67" spans="1:14" s="4" customFormat="1" ht="49.5" customHeight="1">
      <c r="A67" s="35">
        <v>65</v>
      </c>
      <c r="B67" s="36" t="s">
        <v>118</v>
      </c>
      <c r="C67" s="75" t="s">
        <v>146</v>
      </c>
      <c r="D67" s="36" t="s">
        <v>147</v>
      </c>
      <c r="E67" s="37">
        <v>0</v>
      </c>
      <c r="F67" s="37">
        <v>0</v>
      </c>
      <c r="G67" s="37">
        <v>0</v>
      </c>
      <c r="H67" s="38" t="s">
        <v>148</v>
      </c>
      <c r="I67" s="39">
        <v>480000</v>
      </c>
      <c r="J67" s="39">
        <v>480000</v>
      </c>
      <c r="K67" s="41">
        <v>40141</v>
      </c>
      <c r="L67" s="46">
        <v>41049</v>
      </c>
      <c r="M67" s="38" t="s">
        <v>26</v>
      </c>
      <c r="N67" s="42" t="s">
        <v>273</v>
      </c>
    </row>
    <row r="68" spans="1:14" s="4" customFormat="1" ht="49.5" customHeight="1">
      <c r="A68" s="35">
        <v>66</v>
      </c>
      <c r="B68" s="36" t="s">
        <v>149</v>
      </c>
      <c r="C68" s="75" t="s">
        <v>150</v>
      </c>
      <c r="D68" s="36" t="s">
        <v>279</v>
      </c>
      <c r="E68" s="37">
        <v>0</v>
      </c>
      <c r="F68" s="37">
        <v>0</v>
      </c>
      <c r="G68" s="37">
        <v>0</v>
      </c>
      <c r="H68" s="38" t="s">
        <v>152</v>
      </c>
      <c r="I68" s="39">
        <v>1800000</v>
      </c>
      <c r="J68" s="39">
        <v>1080000</v>
      </c>
      <c r="K68" s="41">
        <v>40638</v>
      </c>
      <c r="L68" s="46">
        <v>41002</v>
      </c>
      <c r="M68" s="38" t="s">
        <v>26</v>
      </c>
      <c r="N68" s="42" t="s">
        <v>68</v>
      </c>
    </row>
    <row r="69" spans="1:14" s="4" customFormat="1" ht="49.5" customHeight="1">
      <c r="A69" s="35">
        <v>67</v>
      </c>
      <c r="B69" s="36" t="s">
        <v>153</v>
      </c>
      <c r="C69" s="75" t="s">
        <v>154</v>
      </c>
      <c r="D69" s="36" t="s">
        <v>155</v>
      </c>
      <c r="E69" s="37">
        <v>0</v>
      </c>
      <c r="F69" s="37">
        <v>0</v>
      </c>
      <c r="G69" s="37">
        <v>0</v>
      </c>
      <c r="H69" s="38" t="s">
        <v>156</v>
      </c>
      <c r="I69" s="39">
        <v>5860725</v>
      </c>
      <c r="J69" s="39">
        <v>5860725</v>
      </c>
      <c r="K69" s="41">
        <v>38884</v>
      </c>
      <c r="L69" s="46">
        <v>40451</v>
      </c>
      <c r="M69" s="38" t="s">
        <v>26</v>
      </c>
      <c r="N69" s="42" t="s">
        <v>273</v>
      </c>
    </row>
    <row r="70" spans="1:14" s="4" customFormat="1" ht="49.5" customHeight="1">
      <c r="A70" s="35">
        <v>68</v>
      </c>
      <c r="B70" s="36" t="s">
        <v>153</v>
      </c>
      <c r="C70" s="75" t="s">
        <v>154</v>
      </c>
      <c r="D70" s="36" t="s">
        <v>157</v>
      </c>
      <c r="E70" s="37">
        <v>1323441.28</v>
      </c>
      <c r="F70" s="37">
        <v>0</v>
      </c>
      <c r="G70" s="37">
        <v>1323441.28</v>
      </c>
      <c r="H70" s="38" t="s">
        <v>158</v>
      </c>
      <c r="I70" s="39">
        <v>4900000</v>
      </c>
      <c r="J70" s="39">
        <v>2571564.54</v>
      </c>
      <c r="K70" s="41">
        <v>39447</v>
      </c>
      <c r="L70" s="46">
        <v>40482</v>
      </c>
      <c r="M70" s="38" t="s">
        <v>159</v>
      </c>
      <c r="N70" s="42" t="s">
        <v>273</v>
      </c>
    </row>
    <row r="71" spans="1:14" s="4" customFormat="1" ht="49.5" customHeight="1">
      <c r="A71" s="35">
        <v>69</v>
      </c>
      <c r="B71" s="36" t="s">
        <v>153</v>
      </c>
      <c r="C71" s="75" t="s">
        <v>154</v>
      </c>
      <c r="D71" s="36" t="s">
        <v>160</v>
      </c>
      <c r="E71" s="37">
        <v>0</v>
      </c>
      <c r="F71" s="37">
        <v>0</v>
      </c>
      <c r="G71" s="37">
        <v>0</v>
      </c>
      <c r="H71" s="38" t="s">
        <v>161</v>
      </c>
      <c r="I71" s="39">
        <v>8195570</v>
      </c>
      <c r="J71" s="39">
        <v>1225272.95</v>
      </c>
      <c r="K71" s="41">
        <v>39447</v>
      </c>
      <c r="L71" s="46">
        <v>40471</v>
      </c>
      <c r="M71" s="38" t="s">
        <v>159</v>
      </c>
      <c r="N71" s="42" t="s">
        <v>273</v>
      </c>
    </row>
    <row r="72" spans="1:14" s="4" customFormat="1" ht="49.5" customHeight="1">
      <c r="A72" s="35">
        <v>70</v>
      </c>
      <c r="B72" s="36" t="s">
        <v>153</v>
      </c>
      <c r="C72" s="75" t="s">
        <v>162</v>
      </c>
      <c r="D72" s="36" t="s">
        <v>163</v>
      </c>
      <c r="E72" s="37">
        <v>0</v>
      </c>
      <c r="F72" s="37">
        <v>0</v>
      </c>
      <c r="G72" s="37">
        <v>0</v>
      </c>
      <c r="H72" s="38" t="s">
        <v>164</v>
      </c>
      <c r="I72" s="39">
        <v>394200</v>
      </c>
      <c r="J72" s="39">
        <v>394200</v>
      </c>
      <c r="K72" s="41">
        <v>40528</v>
      </c>
      <c r="L72" s="46">
        <v>41455</v>
      </c>
      <c r="M72" s="38" t="s">
        <v>26</v>
      </c>
      <c r="N72" s="42" t="s">
        <v>273</v>
      </c>
    </row>
    <row r="73" spans="1:14" s="4" customFormat="1" ht="49.5" customHeight="1">
      <c r="A73" s="35">
        <v>71</v>
      </c>
      <c r="B73" s="36" t="s">
        <v>153</v>
      </c>
      <c r="C73" s="75" t="s">
        <v>162</v>
      </c>
      <c r="D73" s="36" t="s">
        <v>165</v>
      </c>
      <c r="E73" s="37">
        <v>57311.33</v>
      </c>
      <c r="F73" s="37">
        <v>0</v>
      </c>
      <c r="G73" s="37">
        <v>57311.33</v>
      </c>
      <c r="H73" s="38" t="s">
        <v>166</v>
      </c>
      <c r="I73" s="39">
        <v>255740</v>
      </c>
      <c r="J73" s="39">
        <v>86491.27</v>
      </c>
      <c r="K73" s="41">
        <v>40528</v>
      </c>
      <c r="L73" s="46">
        <v>41455</v>
      </c>
      <c r="M73" s="38" t="s">
        <v>26</v>
      </c>
      <c r="N73" s="42" t="s">
        <v>273</v>
      </c>
    </row>
    <row r="74" spans="1:14" s="4" customFormat="1" ht="49.5" customHeight="1">
      <c r="A74" s="35">
        <v>72</v>
      </c>
      <c r="B74" s="36" t="s">
        <v>153</v>
      </c>
      <c r="C74" s="75" t="s">
        <v>162</v>
      </c>
      <c r="D74" s="75" t="s">
        <v>167</v>
      </c>
      <c r="E74" s="37">
        <v>0</v>
      </c>
      <c r="F74" s="37">
        <v>0</v>
      </c>
      <c r="G74" s="37">
        <v>0</v>
      </c>
      <c r="H74" s="38" t="s">
        <v>168</v>
      </c>
      <c r="I74" s="39">
        <v>295300</v>
      </c>
      <c r="J74" s="39">
        <v>103414.06</v>
      </c>
      <c r="K74" s="41">
        <v>40528</v>
      </c>
      <c r="L74" s="46">
        <v>41455</v>
      </c>
      <c r="M74" s="38" t="s">
        <v>26</v>
      </c>
      <c r="N74" s="42" t="s">
        <v>273</v>
      </c>
    </row>
    <row r="75" spans="1:14" s="4" customFormat="1" ht="49.5" customHeight="1">
      <c r="A75" s="35">
        <v>73</v>
      </c>
      <c r="B75" s="36" t="s">
        <v>153</v>
      </c>
      <c r="C75" s="75" t="s">
        <v>162</v>
      </c>
      <c r="D75" s="75" t="s">
        <v>169</v>
      </c>
      <c r="E75" s="37">
        <v>0</v>
      </c>
      <c r="F75" s="37">
        <v>0</v>
      </c>
      <c r="G75" s="37">
        <v>0</v>
      </c>
      <c r="H75" s="38" t="s">
        <v>170</v>
      </c>
      <c r="I75" s="39">
        <v>245850</v>
      </c>
      <c r="J75" s="39">
        <v>85383.7</v>
      </c>
      <c r="K75" s="41">
        <v>40528</v>
      </c>
      <c r="L75" s="46">
        <v>41455</v>
      </c>
      <c r="M75" s="38" t="s">
        <v>26</v>
      </c>
      <c r="N75" s="42" t="s">
        <v>273</v>
      </c>
    </row>
    <row r="76" spans="1:14" s="4" customFormat="1" ht="49.5" customHeight="1">
      <c r="A76" s="35">
        <v>74</v>
      </c>
      <c r="B76" s="36" t="s">
        <v>171</v>
      </c>
      <c r="C76" s="75" t="s">
        <v>172</v>
      </c>
      <c r="D76" s="36" t="s">
        <v>173</v>
      </c>
      <c r="E76" s="37">
        <v>0</v>
      </c>
      <c r="F76" s="37">
        <v>0</v>
      </c>
      <c r="G76" s="37">
        <v>0</v>
      </c>
      <c r="H76" s="38" t="s">
        <v>174</v>
      </c>
      <c r="I76" s="39">
        <v>97500</v>
      </c>
      <c r="J76" s="39">
        <v>48750</v>
      </c>
      <c r="K76" s="41">
        <v>40057</v>
      </c>
      <c r="L76" s="46">
        <v>40452</v>
      </c>
      <c r="M76" s="38" t="s">
        <v>26</v>
      </c>
      <c r="N76" s="42" t="s">
        <v>273</v>
      </c>
    </row>
    <row r="77" spans="1:14" s="4" customFormat="1" ht="49.5" customHeight="1">
      <c r="A77" s="35">
        <v>75</v>
      </c>
      <c r="B77" s="36" t="s">
        <v>175</v>
      </c>
      <c r="C77" s="75" t="s">
        <v>176</v>
      </c>
      <c r="D77" s="36" t="s">
        <v>177</v>
      </c>
      <c r="E77" s="37">
        <v>0</v>
      </c>
      <c r="F77" s="37">
        <v>0</v>
      </c>
      <c r="G77" s="37">
        <v>0</v>
      </c>
      <c r="H77" s="38" t="s">
        <v>178</v>
      </c>
      <c r="I77" s="39">
        <v>146250</v>
      </c>
      <c r="J77" s="39">
        <v>146250</v>
      </c>
      <c r="K77" s="41">
        <v>39812</v>
      </c>
      <c r="L77" s="46">
        <v>40663</v>
      </c>
      <c r="M77" s="38" t="s">
        <v>26</v>
      </c>
      <c r="N77" s="42" t="s">
        <v>273</v>
      </c>
    </row>
    <row r="78" spans="1:14" s="4" customFormat="1" ht="49.5" customHeight="1">
      <c r="A78" s="35">
        <v>76</v>
      </c>
      <c r="B78" s="36" t="s">
        <v>175</v>
      </c>
      <c r="C78" s="75" t="s">
        <v>176</v>
      </c>
      <c r="D78" s="36" t="s">
        <v>179</v>
      </c>
      <c r="E78" s="37">
        <v>0</v>
      </c>
      <c r="F78" s="37">
        <v>0</v>
      </c>
      <c r="G78" s="37">
        <v>0</v>
      </c>
      <c r="H78" s="38" t="s">
        <v>180</v>
      </c>
      <c r="I78" s="39">
        <v>254104.34</v>
      </c>
      <c r="J78" s="39">
        <v>254104.34</v>
      </c>
      <c r="K78" s="41">
        <v>40361</v>
      </c>
      <c r="L78" s="46">
        <v>40723</v>
      </c>
      <c r="M78" s="38" t="s">
        <v>26</v>
      </c>
      <c r="N78" s="42" t="s">
        <v>273</v>
      </c>
    </row>
    <row r="79" spans="1:14" s="4" customFormat="1" ht="49.5" customHeight="1">
      <c r="A79" s="35">
        <v>77</v>
      </c>
      <c r="B79" s="36" t="s">
        <v>181</v>
      </c>
      <c r="C79" s="75" t="s">
        <v>182</v>
      </c>
      <c r="D79" s="36" t="s">
        <v>280</v>
      </c>
      <c r="E79" s="37">
        <v>0</v>
      </c>
      <c r="F79" s="37">
        <v>0</v>
      </c>
      <c r="G79" s="37">
        <v>0</v>
      </c>
      <c r="H79" s="38" t="s">
        <v>184</v>
      </c>
      <c r="I79" s="39">
        <v>72000</v>
      </c>
      <c r="J79" s="39">
        <v>71997.99</v>
      </c>
      <c r="K79" s="41">
        <v>40544</v>
      </c>
      <c r="L79" s="46" t="s">
        <v>67</v>
      </c>
      <c r="M79" s="38" t="s">
        <v>26</v>
      </c>
      <c r="N79" s="42" t="s">
        <v>273</v>
      </c>
    </row>
    <row r="80" spans="1:14" s="4" customFormat="1" ht="49.5" customHeight="1">
      <c r="A80" s="35">
        <v>78</v>
      </c>
      <c r="B80" s="36" t="s">
        <v>181</v>
      </c>
      <c r="C80" s="75" t="s">
        <v>185</v>
      </c>
      <c r="D80" s="36" t="s">
        <v>281</v>
      </c>
      <c r="E80" s="37">
        <v>25000</v>
      </c>
      <c r="F80" s="37">
        <v>0</v>
      </c>
      <c r="G80" s="37">
        <v>25000</v>
      </c>
      <c r="H80" s="38" t="s">
        <v>187</v>
      </c>
      <c r="I80" s="39">
        <v>105000</v>
      </c>
      <c r="J80" s="39">
        <v>82954.57</v>
      </c>
      <c r="K80" s="41">
        <v>40544</v>
      </c>
      <c r="L80" s="46" t="s">
        <v>67</v>
      </c>
      <c r="M80" s="38" t="s">
        <v>26</v>
      </c>
      <c r="N80" s="42" t="s">
        <v>273</v>
      </c>
    </row>
    <row r="81" spans="1:14" s="4" customFormat="1" ht="49.5" customHeight="1">
      <c r="A81" s="35">
        <v>79</v>
      </c>
      <c r="B81" s="36" t="s">
        <v>181</v>
      </c>
      <c r="C81" s="75" t="s">
        <v>188</v>
      </c>
      <c r="D81" s="36" t="s">
        <v>189</v>
      </c>
      <c r="E81" s="37">
        <v>500000</v>
      </c>
      <c r="F81" s="37">
        <v>0</v>
      </c>
      <c r="G81" s="37">
        <v>500000</v>
      </c>
      <c r="H81" s="38" t="s">
        <v>190</v>
      </c>
      <c r="I81" s="39">
        <v>2000000</v>
      </c>
      <c r="J81" s="39">
        <v>1500000</v>
      </c>
      <c r="K81" s="41">
        <v>40057</v>
      </c>
      <c r="L81" s="46" t="s">
        <v>67</v>
      </c>
      <c r="M81" s="38" t="s">
        <v>26</v>
      </c>
      <c r="N81" s="42" t="s">
        <v>273</v>
      </c>
    </row>
    <row r="82" spans="1:14" s="4" customFormat="1" ht="49.5" customHeight="1">
      <c r="A82" s="35">
        <v>80</v>
      </c>
      <c r="B82" s="36" t="s">
        <v>181</v>
      </c>
      <c r="C82" s="75" t="s">
        <v>191</v>
      </c>
      <c r="D82" s="75" t="s">
        <v>250</v>
      </c>
      <c r="E82" s="37">
        <v>52800</v>
      </c>
      <c r="F82" s="37">
        <v>0</v>
      </c>
      <c r="G82" s="37">
        <v>52800</v>
      </c>
      <c r="H82" s="44" t="s">
        <v>193</v>
      </c>
      <c r="I82" s="45">
        <v>105600</v>
      </c>
      <c r="J82" s="45">
        <v>88000</v>
      </c>
      <c r="K82" s="41">
        <v>40544</v>
      </c>
      <c r="L82" s="46" t="s">
        <v>67</v>
      </c>
      <c r="M82" s="46" t="s">
        <v>26</v>
      </c>
      <c r="N82" s="42" t="s">
        <v>273</v>
      </c>
    </row>
    <row r="83" spans="1:14" s="4" customFormat="1" ht="49.5" customHeight="1">
      <c r="A83" s="35">
        <v>81</v>
      </c>
      <c r="B83" s="36" t="s">
        <v>181</v>
      </c>
      <c r="C83" s="75" t="s">
        <v>194</v>
      </c>
      <c r="D83" s="75" t="s">
        <v>251</v>
      </c>
      <c r="E83" s="37">
        <v>161087</v>
      </c>
      <c r="F83" s="37">
        <v>0</v>
      </c>
      <c r="G83" s="37">
        <v>161087</v>
      </c>
      <c r="H83" s="44" t="s">
        <v>196</v>
      </c>
      <c r="I83" s="45">
        <v>386608.8</v>
      </c>
      <c r="J83" s="45">
        <v>354391.4</v>
      </c>
      <c r="K83" s="41">
        <v>40544</v>
      </c>
      <c r="L83" s="46" t="s">
        <v>67</v>
      </c>
      <c r="M83" s="46" t="s">
        <v>26</v>
      </c>
      <c r="N83" s="42" t="s">
        <v>273</v>
      </c>
    </row>
    <row r="84" spans="1:14" s="4" customFormat="1" ht="49.5" customHeight="1">
      <c r="A84" s="35">
        <v>82</v>
      </c>
      <c r="B84" s="36" t="s">
        <v>181</v>
      </c>
      <c r="C84" s="75" t="s">
        <v>185</v>
      </c>
      <c r="D84" s="75" t="s">
        <v>197</v>
      </c>
      <c r="E84" s="37">
        <v>36000</v>
      </c>
      <c r="F84" s="37">
        <v>0</v>
      </c>
      <c r="G84" s="37">
        <v>36000</v>
      </c>
      <c r="H84" s="44" t="s">
        <v>184</v>
      </c>
      <c r="I84" s="45">
        <v>36000</v>
      </c>
      <c r="J84" s="45">
        <v>0</v>
      </c>
      <c r="K84" s="41">
        <v>40544</v>
      </c>
      <c r="L84" s="46" t="s">
        <v>67</v>
      </c>
      <c r="M84" s="46" t="s">
        <v>26</v>
      </c>
      <c r="N84" s="42" t="s">
        <v>273</v>
      </c>
    </row>
    <row r="85" spans="1:14" s="4" customFormat="1" ht="49.5" customHeight="1">
      <c r="A85" s="35">
        <v>83</v>
      </c>
      <c r="B85" s="36" t="s">
        <v>181</v>
      </c>
      <c r="C85" s="75" t="s">
        <v>185</v>
      </c>
      <c r="D85" s="75" t="s">
        <v>198</v>
      </c>
      <c r="E85" s="37">
        <v>75900.98</v>
      </c>
      <c r="F85" s="37">
        <v>0</v>
      </c>
      <c r="G85" s="37">
        <v>75900.98</v>
      </c>
      <c r="H85" s="44" t="s">
        <v>184</v>
      </c>
      <c r="I85" s="45">
        <v>245000</v>
      </c>
      <c r="J85" s="45">
        <v>237337.58</v>
      </c>
      <c r="K85" s="41">
        <v>40544</v>
      </c>
      <c r="L85" s="46" t="s">
        <v>67</v>
      </c>
      <c r="M85" s="46" t="s">
        <v>26</v>
      </c>
      <c r="N85" s="42" t="s">
        <v>273</v>
      </c>
    </row>
    <row r="86" spans="1:14" s="4" customFormat="1" ht="49.5" customHeight="1">
      <c r="A86" s="35">
        <v>84</v>
      </c>
      <c r="B86" s="36" t="s">
        <v>181</v>
      </c>
      <c r="C86" s="75" t="s">
        <v>199</v>
      </c>
      <c r="D86" s="75" t="s">
        <v>200</v>
      </c>
      <c r="E86" s="37">
        <v>0</v>
      </c>
      <c r="F86" s="37">
        <v>0</v>
      </c>
      <c r="G86" s="37">
        <v>0</v>
      </c>
      <c r="H86" s="44" t="s">
        <v>201</v>
      </c>
      <c r="I86" s="45">
        <v>95000</v>
      </c>
      <c r="J86" s="37">
        <v>95000</v>
      </c>
      <c r="K86" s="41">
        <v>40483</v>
      </c>
      <c r="L86" s="46" t="s">
        <v>67</v>
      </c>
      <c r="M86" s="46" t="s">
        <v>26</v>
      </c>
      <c r="N86" s="42" t="s">
        <v>273</v>
      </c>
    </row>
    <row r="87" spans="1:14" s="4" customFormat="1" ht="49.5" customHeight="1">
      <c r="A87" s="35">
        <v>85</v>
      </c>
      <c r="B87" s="36" t="s">
        <v>181</v>
      </c>
      <c r="C87" s="75" t="s">
        <v>199</v>
      </c>
      <c r="D87" s="75" t="s">
        <v>202</v>
      </c>
      <c r="E87" s="37">
        <v>0</v>
      </c>
      <c r="F87" s="37">
        <v>0</v>
      </c>
      <c r="G87" s="37">
        <v>0</v>
      </c>
      <c r="H87" s="44" t="s">
        <v>201</v>
      </c>
      <c r="I87" s="45">
        <v>30000</v>
      </c>
      <c r="J87" s="37">
        <v>30000</v>
      </c>
      <c r="K87" s="41">
        <v>40483</v>
      </c>
      <c r="L87" s="46" t="s">
        <v>67</v>
      </c>
      <c r="M87" s="46" t="s">
        <v>26</v>
      </c>
      <c r="N87" s="42" t="s">
        <v>273</v>
      </c>
    </row>
    <row r="88" spans="1:14" s="4" customFormat="1" ht="49.5" customHeight="1">
      <c r="A88" s="35">
        <v>86</v>
      </c>
      <c r="B88" s="36" t="s">
        <v>181</v>
      </c>
      <c r="C88" s="75" t="s">
        <v>199</v>
      </c>
      <c r="D88" s="75" t="s">
        <v>203</v>
      </c>
      <c r="E88" s="37">
        <v>1950</v>
      </c>
      <c r="F88" s="37">
        <v>0</v>
      </c>
      <c r="G88" s="37">
        <v>1950</v>
      </c>
      <c r="H88" s="44" t="s">
        <v>201</v>
      </c>
      <c r="I88" s="45">
        <v>1950</v>
      </c>
      <c r="J88" s="37">
        <v>0</v>
      </c>
      <c r="K88" s="41">
        <v>40878</v>
      </c>
      <c r="L88" s="46" t="s">
        <v>67</v>
      </c>
      <c r="M88" s="46" t="s">
        <v>26</v>
      </c>
      <c r="N88" s="42" t="s">
        <v>273</v>
      </c>
    </row>
    <row r="89" spans="1:14" s="4" customFormat="1" ht="49.5" customHeight="1">
      <c r="A89" s="35">
        <v>87</v>
      </c>
      <c r="B89" s="36" t="s">
        <v>181</v>
      </c>
      <c r="C89" s="75" t="s">
        <v>204</v>
      </c>
      <c r="D89" s="75" t="s">
        <v>205</v>
      </c>
      <c r="E89" s="37">
        <v>0</v>
      </c>
      <c r="F89" s="37">
        <v>0</v>
      </c>
      <c r="G89" s="37">
        <v>0</v>
      </c>
      <c r="H89" s="44" t="s">
        <v>206</v>
      </c>
      <c r="I89" s="45">
        <v>266666.7</v>
      </c>
      <c r="J89" s="37">
        <v>26666.67</v>
      </c>
      <c r="K89" s="41">
        <v>40544</v>
      </c>
      <c r="L89" s="46" t="s">
        <v>67</v>
      </c>
      <c r="M89" s="46" t="s">
        <v>26</v>
      </c>
      <c r="N89" s="42" t="s">
        <v>273</v>
      </c>
    </row>
    <row r="90" spans="1:14" s="4" customFormat="1" ht="49.5" customHeight="1">
      <c r="A90" s="35">
        <v>88</v>
      </c>
      <c r="B90" s="36" t="s">
        <v>181</v>
      </c>
      <c r="C90" s="75" t="s">
        <v>204</v>
      </c>
      <c r="D90" s="75" t="s">
        <v>207</v>
      </c>
      <c r="E90" s="37">
        <v>0</v>
      </c>
      <c r="F90" s="37">
        <v>0</v>
      </c>
      <c r="G90" s="37">
        <v>0</v>
      </c>
      <c r="H90" s="44" t="s">
        <v>208</v>
      </c>
      <c r="I90" s="45">
        <v>200000</v>
      </c>
      <c r="J90" s="37">
        <v>20000</v>
      </c>
      <c r="K90" s="41">
        <v>40544</v>
      </c>
      <c r="L90" s="46" t="s">
        <v>67</v>
      </c>
      <c r="M90" s="46" t="s">
        <v>26</v>
      </c>
      <c r="N90" s="42" t="s">
        <v>273</v>
      </c>
    </row>
    <row r="91" spans="1:14" s="4" customFormat="1" ht="49.5" customHeight="1">
      <c r="A91" s="35">
        <v>89</v>
      </c>
      <c r="B91" s="36" t="s">
        <v>181</v>
      </c>
      <c r="C91" s="75" t="s">
        <v>204</v>
      </c>
      <c r="D91" s="75" t="s">
        <v>209</v>
      </c>
      <c r="E91" s="37">
        <v>0</v>
      </c>
      <c r="F91" s="37">
        <v>0</v>
      </c>
      <c r="G91" s="37">
        <v>0</v>
      </c>
      <c r="H91" s="44" t="s">
        <v>210</v>
      </c>
      <c r="I91" s="45">
        <v>400000</v>
      </c>
      <c r="J91" s="37">
        <v>40000</v>
      </c>
      <c r="K91" s="41">
        <v>40544</v>
      </c>
      <c r="L91" s="46" t="s">
        <v>67</v>
      </c>
      <c r="M91" s="46" t="s">
        <v>26</v>
      </c>
      <c r="N91" s="42" t="s">
        <v>273</v>
      </c>
    </row>
    <row r="92" spans="1:14" s="4" customFormat="1" ht="49.5" customHeight="1">
      <c r="A92" s="35">
        <v>90</v>
      </c>
      <c r="B92" s="36" t="s">
        <v>181</v>
      </c>
      <c r="C92" s="75" t="s">
        <v>204</v>
      </c>
      <c r="D92" s="75" t="s">
        <v>211</v>
      </c>
      <c r="E92" s="37">
        <v>0</v>
      </c>
      <c r="F92" s="37">
        <v>0</v>
      </c>
      <c r="G92" s="37">
        <v>0</v>
      </c>
      <c r="H92" s="44" t="s">
        <v>212</v>
      </c>
      <c r="I92" s="45">
        <v>200000</v>
      </c>
      <c r="J92" s="37">
        <v>20000</v>
      </c>
      <c r="K92" s="41">
        <v>40544</v>
      </c>
      <c r="L92" s="46" t="s">
        <v>67</v>
      </c>
      <c r="M92" s="46" t="s">
        <v>26</v>
      </c>
      <c r="N92" s="42" t="s">
        <v>273</v>
      </c>
    </row>
    <row r="93" spans="1:14" s="4" customFormat="1" ht="49.5" customHeight="1">
      <c r="A93" s="35">
        <v>91</v>
      </c>
      <c r="B93" s="36" t="s">
        <v>181</v>
      </c>
      <c r="C93" s="75" t="s">
        <v>204</v>
      </c>
      <c r="D93" s="75" t="s">
        <v>213</v>
      </c>
      <c r="E93" s="37">
        <v>0</v>
      </c>
      <c r="F93" s="37">
        <v>0</v>
      </c>
      <c r="G93" s="37">
        <v>0</v>
      </c>
      <c r="H93" s="44" t="s">
        <v>214</v>
      </c>
      <c r="I93" s="45">
        <v>200000</v>
      </c>
      <c r="J93" s="37">
        <v>20000</v>
      </c>
      <c r="K93" s="41">
        <v>40544</v>
      </c>
      <c r="L93" s="46" t="s">
        <v>67</v>
      </c>
      <c r="M93" s="46" t="s">
        <v>26</v>
      </c>
      <c r="N93" s="42" t="s">
        <v>273</v>
      </c>
    </row>
    <row r="94" spans="1:14" s="4" customFormat="1" ht="49.5" customHeight="1" thickBot="1">
      <c r="A94" s="48">
        <v>92</v>
      </c>
      <c r="B94" s="49" t="s">
        <v>181</v>
      </c>
      <c r="C94" s="76" t="s">
        <v>252</v>
      </c>
      <c r="D94" s="76" t="s">
        <v>253</v>
      </c>
      <c r="E94" s="50">
        <v>36000</v>
      </c>
      <c r="F94" s="50">
        <v>0</v>
      </c>
      <c r="G94" s="50">
        <v>36000</v>
      </c>
      <c r="H94" s="51" t="s">
        <v>254</v>
      </c>
      <c r="I94" s="52">
        <v>180000</v>
      </c>
      <c r="J94" s="50">
        <v>0</v>
      </c>
      <c r="K94" s="54">
        <v>40909</v>
      </c>
      <c r="L94" s="55" t="s">
        <v>67</v>
      </c>
      <c r="M94" s="55" t="s">
        <v>26</v>
      </c>
      <c r="N94" s="56" t="s">
        <v>273</v>
      </c>
    </row>
    <row r="95" spans="1:14" s="4" customFormat="1" ht="49.5" customHeight="1" thickBot="1" thickTop="1">
      <c r="A95" s="9"/>
      <c r="B95" s="10"/>
      <c r="C95" s="10"/>
      <c r="D95" s="71" t="s">
        <v>215</v>
      </c>
      <c r="E95" s="72">
        <f>SUM(E3:E94)</f>
        <v>7413713.65</v>
      </c>
      <c r="F95" s="72">
        <f>SUM(F3:F94)</f>
        <v>0</v>
      </c>
      <c r="G95" s="73">
        <f>SUM(G3:G94)</f>
        <v>7413713.65</v>
      </c>
      <c r="H95" s="10"/>
      <c r="I95" s="10"/>
      <c r="J95" s="10"/>
      <c r="K95" s="10"/>
      <c r="L95" s="11"/>
      <c r="M95" s="10"/>
      <c r="N95" s="12"/>
    </row>
    <row r="96" ht="13.5" thickTop="1"/>
    <row r="97" spans="1:14" s="15" customFormat="1" ht="12.75">
      <c r="A97" s="13"/>
      <c r="B97" s="14"/>
      <c r="C97" s="14"/>
      <c r="D97" s="25" t="s">
        <v>283</v>
      </c>
      <c r="E97" s="25"/>
      <c r="F97" s="25"/>
      <c r="G97" s="25"/>
      <c r="K97" s="14"/>
      <c r="L97" s="16"/>
      <c r="M97" s="14"/>
      <c r="N97" s="17"/>
    </row>
    <row r="98" spans="2:13" s="15" customFormat="1" ht="12.75">
      <c r="B98" s="22"/>
      <c r="C98" s="22"/>
      <c r="E98" s="22"/>
      <c r="F98" s="22"/>
      <c r="G98" s="22"/>
      <c r="K98" s="22"/>
      <c r="L98" s="22"/>
      <c r="M98" s="22"/>
    </row>
    <row r="99" spans="1:14" s="15" customFormat="1" ht="12.75">
      <c r="A99" s="20"/>
      <c r="B99" s="24" t="s">
        <v>221</v>
      </c>
      <c r="C99" s="24"/>
      <c r="E99" s="23" t="s">
        <v>222</v>
      </c>
      <c r="F99" s="23"/>
      <c r="G99" s="23"/>
      <c r="K99" s="23" t="s">
        <v>223</v>
      </c>
      <c r="L99" s="23"/>
      <c r="M99" s="23"/>
      <c r="N99" s="19"/>
    </row>
    <row r="100" spans="1:14" s="15" customFormat="1" ht="12.75">
      <c r="A100" s="21"/>
      <c r="B100" s="18" t="s">
        <v>224</v>
      </c>
      <c r="C100" s="18"/>
      <c r="E100" s="18" t="s">
        <v>225</v>
      </c>
      <c r="F100" s="18"/>
      <c r="G100" s="18"/>
      <c r="K100" s="18" t="s">
        <v>226</v>
      </c>
      <c r="L100" s="18"/>
      <c r="M100" s="18"/>
      <c r="N100" s="19"/>
    </row>
  </sheetData>
  <sheetProtection selectLockedCells="1" selectUnlockedCells="1"/>
  <mergeCells count="11">
    <mergeCell ref="B100:C100"/>
    <mergeCell ref="E100:G100"/>
    <mergeCell ref="K100:M100"/>
    <mergeCell ref="A1:N1"/>
    <mergeCell ref="D97:G97"/>
    <mergeCell ref="B98:C98"/>
    <mergeCell ref="E98:G98"/>
    <mergeCell ref="K98:M98"/>
    <mergeCell ref="B99:C99"/>
    <mergeCell ref="E99:G99"/>
    <mergeCell ref="K99:M99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showGridLines="0" zoomScalePageLayoutView="0" workbookViewId="0" topLeftCell="A82">
      <selection activeCell="E88" sqref="E88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f aca="true" t="shared" si="0" ref="G3:G66">E3+F3</f>
        <v>8415</v>
      </c>
      <c r="H3" s="29" t="s">
        <v>12</v>
      </c>
      <c r="I3" s="30">
        <f>12*8415</f>
        <v>100980</v>
      </c>
      <c r="J3" s="28">
        <f>25245+16830+8415+33660+8415</f>
        <v>92565</v>
      </c>
      <c r="K3" s="32">
        <v>40545</v>
      </c>
      <c r="L3" s="74">
        <v>40908</v>
      </c>
      <c r="M3" s="33" t="s">
        <v>13</v>
      </c>
      <c r="N3" s="34" t="s">
        <v>14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f t="shared" si="0"/>
        <v>7150</v>
      </c>
      <c r="H4" s="38" t="s">
        <v>16</v>
      </c>
      <c r="I4" s="39">
        <f>7150*12</f>
        <v>85800</v>
      </c>
      <c r="J4" s="37">
        <f>21450+14300+7150+28600+7150</f>
        <v>78650</v>
      </c>
      <c r="K4" s="41">
        <v>40545</v>
      </c>
      <c r="L4" s="46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10</v>
      </c>
      <c r="D5" s="36" t="s">
        <v>11</v>
      </c>
      <c r="E5" s="37">
        <v>33660</v>
      </c>
      <c r="F5" s="37">
        <v>0</v>
      </c>
      <c r="G5" s="37">
        <f t="shared" si="0"/>
        <v>33660</v>
      </c>
      <c r="H5" s="38" t="s">
        <v>12</v>
      </c>
      <c r="I5" s="39">
        <f>12*8415</f>
        <v>100980</v>
      </c>
      <c r="J5" s="39">
        <v>0</v>
      </c>
      <c r="K5" s="41">
        <v>40910</v>
      </c>
      <c r="L5" s="46">
        <v>41274</v>
      </c>
      <c r="M5" s="38" t="s">
        <v>285</v>
      </c>
      <c r="N5" s="42" t="s">
        <v>14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15</v>
      </c>
      <c r="D6" s="36" t="s">
        <v>11</v>
      </c>
      <c r="E6" s="37">
        <v>28600</v>
      </c>
      <c r="F6" s="37">
        <v>0</v>
      </c>
      <c r="G6" s="37">
        <f t="shared" si="0"/>
        <v>28600</v>
      </c>
      <c r="H6" s="38" t="s">
        <v>16</v>
      </c>
      <c r="I6" s="39">
        <f>7150*12</f>
        <v>85800</v>
      </c>
      <c r="J6" s="37">
        <v>0</v>
      </c>
      <c r="K6" s="41">
        <v>40910</v>
      </c>
      <c r="L6" s="46">
        <v>41274</v>
      </c>
      <c r="M6" s="38" t="s">
        <v>285</v>
      </c>
      <c r="N6" s="42" t="s">
        <v>14</v>
      </c>
    </row>
    <row r="7" spans="1:14" s="4" customFormat="1" ht="49.5" customHeight="1">
      <c r="A7" s="35">
        <f t="shared" si="1"/>
        <v>5</v>
      </c>
      <c r="B7" s="36" t="s">
        <v>17</v>
      </c>
      <c r="C7" s="36" t="s">
        <v>18</v>
      </c>
      <c r="D7" s="36" t="s">
        <v>19</v>
      </c>
      <c r="E7" s="37">
        <v>0</v>
      </c>
      <c r="F7" s="37">
        <v>0</v>
      </c>
      <c r="G7" s="37">
        <f t="shared" si="0"/>
        <v>0</v>
      </c>
      <c r="H7" s="38" t="s">
        <v>20</v>
      </c>
      <c r="I7" s="39">
        <v>2556407.93</v>
      </c>
      <c r="J7" s="39">
        <v>383461.19</v>
      </c>
      <c r="K7" s="41">
        <v>40142</v>
      </c>
      <c r="L7" s="46">
        <v>40872</v>
      </c>
      <c r="M7" s="38" t="s">
        <v>21</v>
      </c>
      <c r="N7" s="42" t="s">
        <v>22</v>
      </c>
    </row>
    <row r="8" spans="1:14" s="4" customFormat="1" ht="49.5" customHeight="1">
      <c r="A8" s="35">
        <f t="shared" si="1"/>
        <v>6</v>
      </c>
      <c r="B8" s="36" t="s">
        <v>17</v>
      </c>
      <c r="C8" s="36" t="s">
        <v>23</v>
      </c>
      <c r="D8" s="36" t="s">
        <v>24</v>
      </c>
      <c r="E8" s="37">
        <f>279227.1+279227.1+279227.1+279227.1</f>
        <v>1116908.4</v>
      </c>
      <c r="F8" s="37">
        <v>0</v>
      </c>
      <c r="G8" s="37">
        <f t="shared" si="0"/>
        <v>1116908.4</v>
      </c>
      <c r="H8" s="38" t="s">
        <v>25</v>
      </c>
      <c r="I8" s="39">
        <v>2792271</v>
      </c>
      <c r="J8" s="39">
        <f>279227.1+279227.1+279227.1+279227.1+279227.1</f>
        <v>1396135.5</v>
      </c>
      <c r="K8" s="41">
        <v>39995</v>
      </c>
      <c r="L8" s="46">
        <v>41820</v>
      </c>
      <c r="M8" s="38" t="s">
        <v>26</v>
      </c>
      <c r="N8" s="42" t="s">
        <v>27</v>
      </c>
    </row>
    <row r="9" spans="1:14" s="4" customFormat="1" ht="49.5" customHeight="1">
      <c r="A9" s="35">
        <f t="shared" si="1"/>
        <v>7</v>
      </c>
      <c r="B9" s="36" t="s">
        <v>257</v>
      </c>
      <c r="C9" s="36" t="s">
        <v>258</v>
      </c>
      <c r="D9" s="36" t="s">
        <v>259</v>
      </c>
      <c r="E9" s="37">
        <f>196589+196589</f>
        <v>393178</v>
      </c>
      <c r="F9" s="37">
        <v>0</v>
      </c>
      <c r="G9" s="37">
        <f t="shared" si="0"/>
        <v>393178</v>
      </c>
      <c r="H9" s="38" t="s">
        <v>260</v>
      </c>
      <c r="I9" s="39">
        <f>4*196589</f>
        <v>786356</v>
      </c>
      <c r="J9" s="39">
        <v>0</v>
      </c>
      <c r="K9" s="41">
        <v>40957</v>
      </c>
      <c r="L9" s="46">
        <v>41688</v>
      </c>
      <c r="M9" s="38" t="s">
        <v>26</v>
      </c>
      <c r="N9" s="42" t="s">
        <v>68</v>
      </c>
    </row>
    <row r="10" spans="1:14" s="4" customFormat="1" ht="49.5" customHeight="1">
      <c r="A10" s="35">
        <f t="shared" si="1"/>
        <v>8</v>
      </c>
      <c r="B10" s="36" t="s">
        <v>28</v>
      </c>
      <c r="C10" s="36" t="s">
        <v>29</v>
      </c>
      <c r="D10" s="36" t="s">
        <v>30</v>
      </c>
      <c r="E10" s="37">
        <v>0</v>
      </c>
      <c r="F10" s="37">
        <v>0</v>
      </c>
      <c r="G10" s="37">
        <f t="shared" si="0"/>
        <v>0</v>
      </c>
      <c r="H10" s="44" t="s">
        <v>31</v>
      </c>
      <c r="I10" s="45">
        <v>273666.94</v>
      </c>
      <c r="J10" s="45">
        <v>273666.94</v>
      </c>
      <c r="K10" s="41">
        <v>40178</v>
      </c>
      <c r="L10" s="46">
        <v>40542</v>
      </c>
      <c r="M10" s="38" t="s">
        <v>32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33</v>
      </c>
      <c r="E11" s="37">
        <v>0</v>
      </c>
      <c r="F11" s="37">
        <v>0</v>
      </c>
      <c r="G11" s="37">
        <f t="shared" si="0"/>
        <v>0</v>
      </c>
      <c r="H11" s="38" t="s">
        <v>34</v>
      </c>
      <c r="I11" s="39">
        <v>1636649.08</v>
      </c>
      <c r="J11" s="39">
        <v>514958.82</v>
      </c>
      <c r="K11" s="41">
        <v>40176</v>
      </c>
      <c r="L11" s="46">
        <v>40722</v>
      </c>
      <c r="M11" s="38" t="s">
        <v>35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36</v>
      </c>
      <c r="E12" s="37">
        <v>0</v>
      </c>
      <c r="F12" s="37">
        <v>0</v>
      </c>
      <c r="G12" s="37">
        <f t="shared" si="0"/>
        <v>0</v>
      </c>
      <c r="H12" s="38" t="s">
        <v>37</v>
      </c>
      <c r="I12" s="39">
        <v>1492263.04</v>
      </c>
      <c r="J12" s="39">
        <v>517381.16</v>
      </c>
      <c r="K12" s="41">
        <v>40176</v>
      </c>
      <c r="L12" s="46">
        <v>40905</v>
      </c>
      <c r="M12" s="38" t="s">
        <v>38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39</v>
      </c>
      <c r="E13" s="37">
        <v>147662.4</v>
      </c>
      <c r="F13" s="37">
        <v>0</v>
      </c>
      <c r="G13" s="37">
        <f t="shared" si="0"/>
        <v>147662.4</v>
      </c>
      <c r="H13" s="38" t="s">
        <v>40</v>
      </c>
      <c r="I13" s="39">
        <v>322420.94</v>
      </c>
      <c r="J13" s="39">
        <v>174758.54</v>
      </c>
      <c r="K13" s="41">
        <v>40176</v>
      </c>
      <c r="L13" s="46">
        <v>40540</v>
      </c>
      <c r="M13" s="38" t="s">
        <v>32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41</v>
      </c>
      <c r="E14" s="37">
        <v>0</v>
      </c>
      <c r="F14" s="37">
        <v>0</v>
      </c>
      <c r="G14" s="37">
        <f t="shared" si="0"/>
        <v>0</v>
      </c>
      <c r="H14" s="38" t="s">
        <v>42</v>
      </c>
      <c r="I14" s="39">
        <v>851408.61</v>
      </c>
      <c r="J14" s="39">
        <f>588308.41+263100.2</f>
        <v>851408.6100000001</v>
      </c>
      <c r="K14" s="41">
        <v>38890</v>
      </c>
      <c r="L14" s="46">
        <v>40056</v>
      </c>
      <c r="M14" s="38" t="s">
        <v>26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43</v>
      </c>
      <c r="E15" s="37">
        <v>140800</v>
      </c>
      <c r="F15" s="37">
        <v>0</v>
      </c>
      <c r="G15" s="37">
        <f t="shared" si="0"/>
        <v>140800</v>
      </c>
      <c r="H15" s="38" t="s">
        <v>44</v>
      </c>
      <c r="I15" s="39">
        <v>352000</v>
      </c>
      <c r="J15" s="39">
        <v>211200</v>
      </c>
      <c r="K15" s="41">
        <v>39633</v>
      </c>
      <c r="L15" s="46">
        <v>39993</v>
      </c>
      <c r="M15" s="38" t="s">
        <v>35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45</v>
      </c>
      <c r="E16" s="37">
        <v>0</v>
      </c>
      <c r="F16" s="37">
        <v>0</v>
      </c>
      <c r="G16" s="37">
        <f t="shared" si="0"/>
        <v>0</v>
      </c>
      <c r="H16" s="38" t="s">
        <v>46</v>
      </c>
      <c r="I16" s="39">
        <v>516646.91</v>
      </c>
      <c r="J16" s="39">
        <v>437114.41</v>
      </c>
      <c r="K16" s="41">
        <v>40536</v>
      </c>
      <c r="L16" s="46">
        <v>40900</v>
      </c>
      <c r="M16" s="38" t="s">
        <v>26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47</v>
      </c>
      <c r="E17" s="37">
        <v>0</v>
      </c>
      <c r="F17" s="37">
        <v>0</v>
      </c>
      <c r="G17" s="37">
        <f t="shared" si="0"/>
        <v>0</v>
      </c>
      <c r="H17" s="38" t="s">
        <v>48</v>
      </c>
      <c r="I17" s="39">
        <v>100000</v>
      </c>
      <c r="J17" s="39">
        <v>100000</v>
      </c>
      <c r="K17" s="41">
        <v>40177</v>
      </c>
      <c r="L17" s="46">
        <v>40541</v>
      </c>
      <c r="M17" s="38" t="s">
        <v>32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49</v>
      </c>
      <c r="E18" s="37">
        <v>0</v>
      </c>
      <c r="F18" s="37">
        <v>0</v>
      </c>
      <c r="G18" s="37">
        <f t="shared" si="0"/>
        <v>0</v>
      </c>
      <c r="H18" s="38" t="s">
        <v>50</v>
      </c>
      <c r="I18" s="39">
        <v>202569.34</v>
      </c>
      <c r="J18" s="39">
        <v>202569.343</v>
      </c>
      <c r="K18" s="41">
        <v>40542</v>
      </c>
      <c r="L18" s="46">
        <v>40907</v>
      </c>
      <c r="M18" s="38" t="s">
        <v>26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51</v>
      </c>
      <c r="E19" s="37">
        <v>182038.38</v>
      </c>
      <c r="F19" s="37">
        <v>0</v>
      </c>
      <c r="G19" s="37">
        <f t="shared" si="0"/>
        <v>182038.38</v>
      </c>
      <c r="H19" s="38" t="s">
        <v>52</v>
      </c>
      <c r="I19" s="39">
        <v>3640767.5</v>
      </c>
      <c r="J19" s="39">
        <v>0</v>
      </c>
      <c r="K19" s="41">
        <v>40542</v>
      </c>
      <c r="L19" s="46">
        <v>42001</v>
      </c>
      <c r="M19" s="38" t="s">
        <v>35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53</v>
      </c>
      <c r="C20" s="36" t="s">
        <v>29</v>
      </c>
      <c r="D20" s="36" t="s">
        <v>54</v>
      </c>
      <c r="E20" s="37">
        <v>771437.88</v>
      </c>
      <c r="F20" s="37">
        <v>0</v>
      </c>
      <c r="G20" s="37">
        <f t="shared" si="0"/>
        <v>771437.88</v>
      </c>
      <c r="H20" s="38" t="s">
        <v>55</v>
      </c>
      <c r="I20" s="39">
        <v>771437.88</v>
      </c>
      <c r="J20" s="39">
        <v>0</v>
      </c>
      <c r="K20" s="41">
        <v>40886</v>
      </c>
      <c r="L20" s="46">
        <v>41617</v>
      </c>
      <c r="M20" s="38" t="s">
        <v>35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53</v>
      </c>
      <c r="C21" s="36" t="s">
        <v>29</v>
      </c>
      <c r="D21" s="36" t="s">
        <v>56</v>
      </c>
      <c r="E21" s="37">
        <v>90000</v>
      </c>
      <c r="F21" s="37">
        <v>0</v>
      </c>
      <c r="G21" s="37">
        <f t="shared" si="0"/>
        <v>90000</v>
      </c>
      <c r="H21" s="44" t="s">
        <v>57</v>
      </c>
      <c r="I21" s="45">
        <v>3944386.94</v>
      </c>
      <c r="J21" s="45">
        <v>0</v>
      </c>
      <c r="K21" s="41">
        <v>40904</v>
      </c>
      <c r="L21" s="46">
        <v>42000</v>
      </c>
      <c r="M21" s="38" t="s">
        <v>35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28</v>
      </c>
      <c r="C22" s="36" t="s">
        <v>58</v>
      </c>
      <c r="D22" s="36" t="s">
        <v>59</v>
      </c>
      <c r="E22" s="37">
        <v>0</v>
      </c>
      <c r="F22" s="37">
        <v>0</v>
      </c>
      <c r="G22" s="37">
        <f t="shared" si="0"/>
        <v>0</v>
      </c>
      <c r="H22" s="44" t="s">
        <v>60</v>
      </c>
      <c r="I22" s="45">
        <v>250000</v>
      </c>
      <c r="J22" s="45">
        <v>250000</v>
      </c>
      <c r="K22" s="41">
        <v>40155</v>
      </c>
      <c r="L22" s="46">
        <v>40519</v>
      </c>
      <c r="M22" s="38" t="s">
        <v>26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28</v>
      </c>
      <c r="C23" s="36" t="s">
        <v>58</v>
      </c>
      <c r="D23" s="36" t="s">
        <v>61</v>
      </c>
      <c r="E23" s="37">
        <v>0</v>
      </c>
      <c r="F23" s="37">
        <v>0</v>
      </c>
      <c r="G23" s="37">
        <f t="shared" si="0"/>
        <v>0</v>
      </c>
      <c r="H23" s="38" t="s">
        <v>62</v>
      </c>
      <c r="I23" s="39">
        <v>700000</v>
      </c>
      <c r="J23" s="39">
        <v>486857</v>
      </c>
      <c r="K23" s="41">
        <v>40532</v>
      </c>
      <c r="L23" s="46">
        <v>40711</v>
      </c>
      <c r="M23" s="38" t="s">
        <v>26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28</v>
      </c>
      <c r="C24" s="36" t="s">
        <v>58</v>
      </c>
      <c r="D24" s="36" t="s">
        <v>261</v>
      </c>
      <c r="E24" s="37">
        <v>200000</v>
      </c>
      <c r="F24" s="37">
        <v>0</v>
      </c>
      <c r="G24" s="37">
        <f t="shared" si="0"/>
        <v>200000</v>
      </c>
      <c r="H24" s="38" t="s">
        <v>262</v>
      </c>
      <c r="I24" s="39">
        <v>200000</v>
      </c>
      <c r="J24" s="39">
        <v>0</v>
      </c>
      <c r="K24" s="41">
        <v>41018</v>
      </c>
      <c r="L24" s="46">
        <v>41378</v>
      </c>
      <c r="M24" s="38" t="s">
        <v>26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274</v>
      </c>
      <c r="C25" s="36" t="s">
        <v>275</v>
      </c>
      <c r="D25" s="36" t="s">
        <v>276</v>
      </c>
      <c r="E25" s="37">
        <v>330000</v>
      </c>
      <c r="F25" s="37">
        <v>0</v>
      </c>
      <c r="G25" s="37">
        <f t="shared" si="0"/>
        <v>330000</v>
      </c>
      <c r="H25" s="38" t="s">
        <v>277</v>
      </c>
      <c r="I25" s="39">
        <v>330000</v>
      </c>
      <c r="J25" s="39">
        <v>0</v>
      </c>
      <c r="K25" s="41">
        <v>41019</v>
      </c>
      <c r="L25" s="46">
        <v>41229</v>
      </c>
      <c r="M25" s="38" t="s">
        <v>26</v>
      </c>
      <c r="N25" s="42" t="s">
        <v>68</v>
      </c>
    </row>
    <row r="26" spans="1:14" s="4" customFormat="1" ht="49.5" customHeight="1">
      <c r="A26" s="35">
        <f t="shared" si="1"/>
        <v>24</v>
      </c>
      <c r="B26" s="36" t="s">
        <v>63</v>
      </c>
      <c r="C26" s="36" t="s">
        <v>64</v>
      </c>
      <c r="D26" s="36" t="s">
        <v>65</v>
      </c>
      <c r="E26" s="37">
        <f>47533.89+15844.63</f>
        <v>63378.52</v>
      </c>
      <c r="F26" s="37">
        <v>0</v>
      </c>
      <c r="G26" s="37">
        <f t="shared" si="0"/>
        <v>63378.52</v>
      </c>
      <c r="H26" s="38" t="s">
        <v>264</v>
      </c>
      <c r="I26" s="39">
        <v>47533.89</v>
      </c>
      <c r="J26" s="39">
        <v>47533.89</v>
      </c>
      <c r="K26" s="41">
        <v>39814</v>
      </c>
      <c r="L26" s="46" t="s">
        <v>67</v>
      </c>
      <c r="M26" s="38" t="s">
        <v>26</v>
      </c>
      <c r="N26" s="42" t="s">
        <v>68</v>
      </c>
    </row>
    <row r="27" spans="1:14" s="4" customFormat="1" ht="49.5" customHeight="1">
      <c r="A27" s="35">
        <f t="shared" si="1"/>
        <v>25</v>
      </c>
      <c r="B27" s="36" t="s">
        <v>63</v>
      </c>
      <c r="C27" s="36" t="s">
        <v>64</v>
      </c>
      <c r="D27" s="36" t="s">
        <v>69</v>
      </c>
      <c r="E27" s="37">
        <v>0</v>
      </c>
      <c r="F27" s="37">
        <v>0</v>
      </c>
      <c r="G27" s="37">
        <f t="shared" si="0"/>
        <v>0</v>
      </c>
      <c r="H27" s="38" t="s">
        <v>264</v>
      </c>
      <c r="I27" s="39">
        <f>2880+6720</f>
        <v>9600</v>
      </c>
      <c r="J27" s="39">
        <f>7600+2000</f>
        <v>9600</v>
      </c>
      <c r="K27" s="41">
        <v>40303</v>
      </c>
      <c r="L27" s="46" t="s">
        <v>67</v>
      </c>
      <c r="M27" s="38" t="s">
        <v>26</v>
      </c>
      <c r="N27" s="42" t="s">
        <v>68</v>
      </c>
    </row>
    <row r="28" spans="1:14" s="4" customFormat="1" ht="49.5" customHeight="1">
      <c r="A28" s="35">
        <f t="shared" si="1"/>
        <v>26</v>
      </c>
      <c r="B28" s="36" t="s">
        <v>63</v>
      </c>
      <c r="C28" s="36" t="s">
        <v>64</v>
      </c>
      <c r="D28" s="36" t="s">
        <v>263</v>
      </c>
      <c r="E28" s="37">
        <f>1281.93+4497.1</f>
        <v>5779.030000000001</v>
      </c>
      <c r="F28" s="37">
        <v>0</v>
      </c>
      <c r="G28" s="37">
        <f t="shared" si="0"/>
        <v>5779.030000000001</v>
      </c>
      <c r="H28" s="38" t="s">
        <v>264</v>
      </c>
      <c r="I28" s="39">
        <v>5779.03</v>
      </c>
      <c r="J28" s="39">
        <v>0</v>
      </c>
      <c r="K28" s="41">
        <v>39600</v>
      </c>
      <c r="L28" s="46">
        <v>41274</v>
      </c>
      <c r="M28" s="38" t="s">
        <v>26</v>
      </c>
      <c r="N28" s="42" t="s">
        <v>68</v>
      </c>
    </row>
    <row r="29" spans="1:15" s="7" customFormat="1" ht="49.5" customHeight="1">
      <c r="A29" s="35">
        <f t="shared" si="1"/>
        <v>27</v>
      </c>
      <c r="B29" s="36" t="s">
        <v>63</v>
      </c>
      <c r="C29" s="36" t="s">
        <v>70</v>
      </c>
      <c r="D29" s="36" t="s">
        <v>71</v>
      </c>
      <c r="E29" s="37">
        <v>0</v>
      </c>
      <c r="F29" s="37">
        <v>0</v>
      </c>
      <c r="G29" s="37">
        <f t="shared" si="0"/>
        <v>0</v>
      </c>
      <c r="H29" s="38" t="s">
        <v>72</v>
      </c>
      <c r="I29" s="39">
        <v>70000</v>
      </c>
      <c r="J29" s="39">
        <v>70000</v>
      </c>
      <c r="K29" s="41">
        <v>40540</v>
      </c>
      <c r="L29" s="46">
        <v>40724</v>
      </c>
      <c r="M29" s="38" t="s">
        <v>26</v>
      </c>
      <c r="N29" s="42" t="s">
        <v>68</v>
      </c>
      <c r="O29" s="4"/>
    </row>
    <row r="30" spans="1:15" s="7" customFormat="1" ht="49.5" customHeight="1">
      <c r="A30" s="35">
        <f t="shared" si="1"/>
        <v>28</v>
      </c>
      <c r="B30" s="36" t="s">
        <v>63</v>
      </c>
      <c r="C30" s="36" t="s">
        <v>70</v>
      </c>
      <c r="D30" s="36" t="s">
        <v>73</v>
      </c>
      <c r="E30" s="37">
        <v>0</v>
      </c>
      <c r="F30" s="37">
        <v>0</v>
      </c>
      <c r="G30" s="37">
        <f t="shared" si="0"/>
        <v>0</v>
      </c>
      <c r="H30" s="38" t="s">
        <v>74</v>
      </c>
      <c r="I30" s="39">
        <v>60000</v>
      </c>
      <c r="J30" s="39">
        <v>60000</v>
      </c>
      <c r="K30" s="41">
        <v>40540</v>
      </c>
      <c r="L30" s="46">
        <v>40724</v>
      </c>
      <c r="M30" s="38" t="s">
        <v>26</v>
      </c>
      <c r="N30" s="42" t="s">
        <v>68</v>
      </c>
      <c r="O30" s="4"/>
    </row>
    <row r="31" spans="1:15" s="7" customFormat="1" ht="49.5" customHeight="1">
      <c r="A31" s="35">
        <f t="shared" si="1"/>
        <v>29</v>
      </c>
      <c r="B31" s="36" t="s">
        <v>63</v>
      </c>
      <c r="C31" s="36" t="s">
        <v>75</v>
      </c>
      <c r="D31" s="36" t="s">
        <v>76</v>
      </c>
      <c r="E31" s="37">
        <v>0</v>
      </c>
      <c r="F31" s="37">
        <v>0</v>
      </c>
      <c r="G31" s="37">
        <f t="shared" si="0"/>
        <v>0</v>
      </c>
      <c r="H31" s="38" t="s">
        <v>77</v>
      </c>
      <c r="I31" s="39">
        <v>630000</v>
      </c>
      <c r="J31" s="39">
        <v>630000</v>
      </c>
      <c r="K31" s="41">
        <v>40599</v>
      </c>
      <c r="L31" s="46">
        <v>40908</v>
      </c>
      <c r="M31" s="38" t="s">
        <v>26</v>
      </c>
      <c r="N31" s="42" t="s">
        <v>68</v>
      </c>
      <c r="O31" s="4"/>
    </row>
    <row r="32" spans="1:15" s="7" customFormat="1" ht="49.5" customHeight="1">
      <c r="A32" s="35">
        <f t="shared" si="1"/>
        <v>30</v>
      </c>
      <c r="B32" s="36" t="s">
        <v>63</v>
      </c>
      <c r="C32" s="36" t="s">
        <v>75</v>
      </c>
      <c r="D32" s="36" t="s">
        <v>78</v>
      </c>
      <c r="E32" s="37">
        <v>105000</v>
      </c>
      <c r="F32" s="37">
        <v>0</v>
      </c>
      <c r="G32" s="37">
        <f t="shared" si="0"/>
        <v>105000</v>
      </c>
      <c r="H32" s="44" t="s">
        <v>79</v>
      </c>
      <c r="I32" s="45">
        <v>630000</v>
      </c>
      <c r="J32" s="45">
        <v>525000</v>
      </c>
      <c r="K32" s="41">
        <v>40751</v>
      </c>
      <c r="L32" s="46">
        <v>40908</v>
      </c>
      <c r="M32" s="46" t="s">
        <v>26</v>
      </c>
      <c r="N32" s="42" t="s">
        <v>68</v>
      </c>
      <c r="O32" s="4"/>
    </row>
    <row r="33" spans="1:15" s="7" customFormat="1" ht="49.5" customHeight="1">
      <c r="A33" s="35">
        <f t="shared" si="1"/>
        <v>31</v>
      </c>
      <c r="B33" s="36" t="s">
        <v>63</v>
      </c>
      <c r="C33" s="36" t="s">
        <v>75</v>
      </c>
      <c r="D33" s="36" t="s">
        <v>265</v>
      </c>
      <c r="E33" s="39">
        <f>105000+105000+105000</f>
        <v>315000</v>
      </c>
      <c r="F33" s="37">
        <v>0</v>
      </c>
      <c r="G33" s="37">
        <f t="shared" si="0"/>
        <v>315000</v>
      </c>
      <c r="H33" s="44" t="s">
        <v>266</v>
      </c>
      <c r="I33" s="45">
        <v>315000</v>
      </c>
      <c r="J33" s="45">
        <v>0</v>
      </c>
      <c r="K33" s="41">
        <v>40977</v>
      </c>
      <c r="L33" s="46">
        <v>41271</v>
      </c>
      <c r="M33" s="46" t="s">
        <v>26</v>
      </c>
      <c r="N33" s="42" t="s">
        <v>68</v>
      </c>
      <c r="O33" s="4"/>
    </row>
    <row r="34" spans="1:15" s="7" customFormat="1" ht="49.5" customHeight="1">
      <c r="A34" s="35">
        <f t="shared" si="1"/>
        <v>32</v>
      </c>
      <c r="B34" s="36" t="s">
        <v>80</v>
      </c>
      <c r="C34" s="36" t="s">
        <v>81</v>
      </c>
      <c r="D34" s="36" t="s">
        <v>82</v>
      </c>
      <c r="E34" s="37">
        <v>0</v>
      </c>
      <c r="F34" s="37">
        <v>0</v>
      </c>
      <c r="G34" s="37">
        <f t="shared" si="0"/>
        <v>0</v>
      </c>
      <c r="H34" s="38" t="s">
        <v>83</v>
      </c>
      <c r="I34" s="39">
        <v>126000</v>
      </c>
      <c r="J34" s="39">
        <f>66036+47363</f>
        <v>113399</v>
      </c>
      <c r="K34" s="41">
        <v>39071</v>
      </c>
      <c r="L34" s="46" t="s">
        <v>84</v>
      </c>
      <c r="M34" s="46" t="s">
        <v>26</v>
      </c>
      <c r="N34" s="42" t="s">
        <v>27</v>
      </c>
      <c r="O34" s="4"/>
    </row>
    <row r="35" spans="1:15" s="7" customFormat="1" ht="49.5" customHeight="1">
      <c r="A35" s="35">
        <f t="shared" si="1"/>
        <v>33</v>
      </c>
      <c r="B35" s="36" t="s">
        <v>85</v>
      </c>
      <c r="C35" s="36" t="s">
        <v>86</v>
      </c>
      <c r="D35" s="36" t="s">
        <v>87</v>
      </c>
      <c r="E35" s="37">
        <f>8732.91+45419.87+16466.7+27317.93</f>
        <v>97937.41</v>
      </c>
      <c r="F35" s="37">
        <v>0</v>
      </c>
      <c r="G35" s="37">
        <f t="shared" si="0"/>
        <v>97937.41</v>
      </c>
      <c r="H35" s="38" t="s">
        <v>88</v>
      </c>
      <c r="I35" s="39">
        <v>85000</v>
      </c>
      <c r="J35" s="39">
        <v>0</v>
      </c>
      <c r="K35" s="41">
        <v>38611</v>
      </c>
      <c r="L35" s="46" t="s">
        <v>67</v>
      </c>
      <c r="M35" s="46" t="s">
        <v>26</v>
      </c>
      <c r="N35" s="42" t="s">
        <v>27</v>
      </c>
      <c r="O35" s="4"/>
    </row>
    <row r="36" spans="1:15" s="7" customFormat="1" ht="49.5" customHeight="1">
      <c r="A36" s="35">
        <f t="shared" si="1"/>
        <v>34</v>
      </c>
      <c r="B36" s="36" t="s">
        <v>89</v>
      </c>
      <c r="C36" s="36" t="s">
        <v>90</v>
      </c>
      <c r="D36" s="36" t="s">
        <v>91</v>
      </c>
      <c r="E36" s="37">
        <v>0</v>
      </c>
      <c r="F36" s="37">
        <v>0</v>
      </c>
      <c r="G36" s="37">
        <f t="shared" si="0"/>
        <v>0</v>
      </c>
      <c r="H36" s="38" t="s">
        <v>92</v>
      </c>
      <c r="I36" s="39">
        <v>292500</v>
      </c>
      <c r="J36" s="39">
        <v>292500</v>
      </c>
      <c r="K36" s="41">
        <v>40350</v>
      </c>
      <c r="L36" s="46">
        <v>40775</v>
      </c>
      <c r="M36" s="38" t="s">
        <v>26</v>
      </c>
      <c r="N36" s="42" t="s">
        <v>27</v>
      </c>
      <c r="O36" s="4"/>
    </row>
    <row r="37" spans="1:15" s="7" customFormat="1" ht="49.5" customHeight="1">
      <c r="A37" s="35">
        <f t="shared" si="1"/>
        <v>35</v>
      </c>
      <c r="B37" s="36" t="s">
        <v>93</v>
      </c>
      <c r="C37" s="36" t="s">
        <v>94</v>
      </c>
      <c r="D37" s="36" t="s">
        <v>95</v>
      </c>
      <c r="E37" s="37">
        <f>179904+359808+179904</f>
        <v>719616</v>
      </c>
      <c r="F37" s="37">
        <v>0</v>
      </c>
      <c r="G37" s="37">
        <f t="shared" si="0"/>
        <v>719616</v>
      </c>
      <c r="H37" s="38" t="s">
        <v>96</v>
      </c>
      <c r="I37" s="39">
        <v>1803960</v>
      </c>
      <c r="J37" s="39">
        <v>0</v>
      </c>
      <c r="K37" s="41">
        <v>40544</v>
      </c>
      <c r="L37" s="46">
        <v>40908</v>
      </c>
      <c r="M37" s="38" t="s">
        <v>26</v>
      </c>
      <c r="N37" s="42" t="s">
        <v>68</v>
      </c>
      <c r="O37" s="4"/>
    </row>
    <row r="38" spans="1:15" s="7" customFormat="1" ht="49.5" customHeight="1">
      <c r="A38" s="35">
        <f t="shared" si="1"/>
        <v>36</v>
      </c>
      <c r="B38" s="36" t="s">
        <v>93</v>
      </c>
      <c r="C38" s="36" t="s">
        <v>97</v>
      </c>
      <c r="D38" s="36" t="s">
        <v>97</v>
      </c>
      <c r="E38" s="47">
        <f>49674.78+13.72</f>
        <v>49688.5</v>
      </c>
      <c r="F38" s="37">
        <v>0</v>
      </c>
      <c r="G38" s="37">
        <f t="shared" si="0"/>
        <v>49688.5</v>
      </c>
      <c r="H38" s="38" t="s">
        <v>98</v>
      </c>
      <c r="I38" s="39">
        <v>232427</v>
      </c>
      <c r="J38" s="39">
        <v>0</v>
      </c>
      <c r="K38" s="41">
        <v>40544</v>
      </c>
      <c r="L38" s="46">
        <v>40908</v>
      </c>
      <c r="M38" s="38" t="s">
        <v>26</v>
      </c>
      <c r="N38" s="42" t="s">
        <v>68</v>
      </c>
      <c r="O38" s="4"/>
    </row>
    <row r="39" spans="1:15" s="7" customFormat="1" ht="49.5" customHeight="1">
      <c r="A39" s="35">
        <f t="shared" si="1"/>
        <v>37</v>
      </c>
      <c r="B39" s="36" t="s">
        <v>93</v>
      </c>
      <c r="C39" s="36" t="s">
        <v>99</v>
      </c>
      <c r="D39" s="36" t="s">
        <v>100</v>
      </c>
      <c r="E39" s="47">
        <f>605.5</f>
        <v>605.5</v>
      </c>
      <c r="F39" s="37">
        <v>0</v>
      </c>
      <c r="G39" s="37">
        <f t="shared" si="0"/>
        <v>605.5</v>
      </c>
      <c r="H39" s="38" t="s">
        <v>101</v>
      </c>
      <c r="I39" s="39">
        <v>12756.3</v>
      </c>
      <c r="J39" s="39">
        <v>12756.3</v>
      </c>
      <c r="K39" s="41">
        <v>40544</v>
      </c>
      <c r="L39" s="46">
        <v>40908</v>
      </c>
      <c r="M39" s="38" t="s">
        <v>26</v>
      </c>
      <c r="N39" s="42" t="s">
        <v>68</v>
      </c>
      <c r="O39" s="4"/>
    </row>
    <row r="40" spans="1:15" s="7" customFormat="1" ht="49.5" customHeight="1">
      <c r="A40" s="35">
        <f t="shared" si="1"/>
        <v>38</v>
      </c>
      <c r="B40" s="36" t="s">
        <v>93</v>
      </c>
      <c r="C40" s="36" t="s">
        <v>102</v>
      </c>
      <c r="D40" s="36" t="s">
        <v>103</v>
      </c>
      <c r="E40" s="47">
        <v>8077.13</v>
      </c>
      <c r="F40" s="37">
        <v>0</v>
      </c>
      <c r="G40" s="37">
        <f t="shared" si="0"/>
        <v>8077.13</v>
      </c>
      <c r="H40" s="38" t="s">
        <v>104</v>
      </c>
      <c r="I40" s="39">
        <v>10750</v>
      </c>
      <c r="J40" s="39">
        <v>0</v>
      </c>
      <c r="K40" s="41">
        <v>40070</v>
      </c>
      <c r="L40" s="46" t="s">
        <v>67</v>
      </c>
      <c r="M40" s="38" t="s">
        <v>26</v>
      </c>
      <c r="N40" s="42" t="s">
        <v>27</v>
      </c>
      <c r="O40" s="4"/>
    </row>
    <row r="41" spans="1:15" s="7" customFormat="1" ht="49.5" customHeight="1">
      <c r="A41" s="35">
        <f t="shared" si="1"/>
        <v>39</v>
      </c>
      <c r="B41" s="36" t="s">
        <v>93</v>
      </c>
      <c r="C41" s="36" t="s">
        <v>105</v>
      </c>
      <c r="D41" s="36" t="s">
        <v>106</v>
      </c>
      <c r="E41" s="47">
        <v>0</v>
      </c>
      <c r="F41" s="37">
        <v>0</v>
      </c>
      <c r="G41" s="37">
        <f t="shared" si="0"/>
        <v>0</v>
      </c>
      <c r="H41" s="38" t="s">
        <v>107</v>
      </c>
      <c r="I41" s="39">
        <v>1276275.58</v>
      </c>
      <c r="J41" s="39">
        <v>255255.12</v>
      </c>
      <c r="K41" s="41">
        <v>40725</v>
      </c>
      <c r="L41" s="46">
        <v>41274</v>
      </c>
      <c r="M41" s="38" t="s">
        <v>26</v>
      </c>
      <c r="N41" s="42" t="s">
        <v>27</v>
      </c>
      <c r="O41" s="4"/>
    </row>
    <row r="42" spans="1:15" s="7" customFormat="1" ht="49.5" customHeight="1">
      <c r="A42" s="35">
        <f t="shared" si="1"/>
        <v>40</v>
      </c>
      <c r="B42" s="36" t="s">
        <v>93</v>
      </c>
      <c r="C42" s="36" t="s">
        <v>105</v>
      </c>
      <c r="D42" s="36" t="s">
        <v>108</v>
      </c>
      <c r="E42" s="47">
        <v>0</v>
      </c>
      <c r="F42" s="37">
        <v>0</v>
      </c>
      <c r="G42" s="37">
        <f t="shared" si="0"/>
        <v>0</v>
      </c>
      <c r="H42" s="38" t="s">
        <v>109</v>
      </c>
      <c r="I42" s="39">
        <v>1316838.4</v>
      </c>
      <c r="J42" s="39">
        <v>263367.68</v>
      </c>
      <c r="K42" s="41">
        <v>40544</v>
      </c>
      <c r="L42" s="46">
        <v>41274</v>
      </c>
      <c r="M42" s="46" t="s">
        <v>26</v>
      </c>
      <c r="N42" s="42" t="s">
        <v>27</v>
      </c>
      <c r="O42" s="4"/>
    </row>
    <row r="43" spans="1:15" s="7" customFormat="1" ht="49.5" customHeight="1">
      <c r="A43" s="35">
        <f t="shared" si="1"/>
        <v>41</v>
      </c>
      <c r="B43" s="36" t="s">
        <v>93</v>
      </c>
      <c r="C43" s="36" t="s">
        <v>228</v>
      </c>
      <c r="D43" s="36" t="s">
        <v>229</v>
      </c>
      <c r="E43" s="37">
        <v>96359.9</v>
      </c>
      <c r="F43" s="37">
        <v>0</v>
      </c>
      <c r="G43" s="37">
        <f t="shared" si="0"/>
        <v>96359.9</v>
      </c>
      <c r="H43" s="38" t="s">
        <v>230</v>
      </c>
      <c r="I43" s="39">
        <v>481799.52</v>
      </c>
      <c r="J43" s="39">
        <v>0</v>
      </c>
      <c r="K43" s="41">
        <v>40725</v>
      </c>
      <c r="L43" s="46">
        <v>41274</v>
      </c>
      <c r="M43" s="46" t="s">
        <v>26</v>
      </c>
      <c r="N43" s="42" t="s">
        <v>27</v>
      </c>
      <c r="O43" s="4"/>
    </row>
    <row r="44" spans="1:15" s="7" customFormat="1" ht="49.5" customHeight="1">
      <c r="A44" s="35">
        <f t="shared" si="1"/>
        <v>42</v>
      </c>
      <c r="B44" s="36" t="s">
        <v>93</v>
      </c>
      <c r="C44" s="36" t="s">
        <v>110</v>
      </c>
      <c r="D44" s="36" t="s">
        <v>111</v>
      </c>
      <c r="E44" s="37">
        <v>214740</v>
      </c>
      <c r="F44" s="37">
        <v>0</v>
      </c>
      <c r="G44" s="37">
        <f t="shared" si="0"/>
        <v>214740</v>
      </c>
      <c r="H44" s="38" t="s">
        <v>112</v>
      </c>
      <c r="I44" s="39">
        <v>644220</v>
      </c>
      <c r="J44" s="39">
        <v>0</v>
      </c>
      <c r="K44" s="41">
        <v>40909</v>
      </c>
      <c r="L44" s="46">
        <v>41639</v>
      </c>
      <c r="M44" s="38" t="s">
        <v>113</v>
      </c>
      <c r="N44" s="42" t="s">
        <v>27</v>
      </c>
      <c r="O44" s="4"/>
    </row>
    <row r="45" spans="1:15" s="7" customFormat="1" ht="49.5" customHeight="1">
      <c r="A45" s="35">
        <f t="shared" si="1"/>
        <v>43</v>
      </c>
      <c r="B45" s="36" t="s">
        <v>93</v>
      </c>
      <c r="C45" s="36" t="s">
        <v>267</v>
      </c>
      <c r="D45" s="36" t="s">
        <v>268</v>
      </c>
      <c r="E45" s="37">
        <v>396871.2</v>
      </c>
      <c r="F45" s="37">
        <v>0</v>
      </c>
      <c r="G45" s="37">
        <f t="shared" si="0"/>
        <v>396871.2</v>
      </c>
      <c r="H45" s="38" t="s">
        <v>269</v>
      </c>
      <c r="I45" s="39">
        <v>0</v>
      </c>
      <c r="J45" s="39">
        <v>0</v>
      </c>
      <c r="K45" s="41">
        <v>40909</v>
      </c>
      <c r="L45" s="46">
        <v>41274</v>
      </c>
      <c r="M45" s="38" t="s">
        <v>26</v>
      </c>
      <c r="N45" s="42" t="s">
        <v>68</v>
      </c>
      <c r="O45" s="4"/>
    </row>
    <row r="46" spans="1:15" s="7" customFormat="1" ht="49.5" customHeight="1">
      <c r="A46" s="35">
        <f t="shared" si="1"/>
        <v>44</v>
      </c>
      <c r="B46" s="36" t="s">
        <v>114</v>
      </c>
      <c r="C46" s="36" t="s">
        <v>115</v>
      </c>
      <c r="D46" s="36" t="s">
        <v>116</v>
      </c>
      <c r="E46" s="37">
        <v>0</v>
      </c>
      <c r="F46" s="37">
        <v>0</v>
      </c>
      <c r="G46" s="37">
        <f t="shared" si="0"/>
        <v>0</v>
      </c>
      <c r="H46" s="38" t="s">
        <v>117</v>
      </c>
      <c r="I46" s="39">
        <v>120000</v>
      </c>
      <c r="J46" s="39">
        <v>120000</v>
      </c>
      <c r="K46" s="41">
        <v>39626</v>
      </c>
      <c r="L46" s="46">
        <v>40629</v>
      </c>
      <c r="M46" s="38" t="s">
        <v>26</v>
      </c>
      <c r="N46" s="42" t="s">
        <v>27</v>
      </c>
      <c r="O46" s="4"/>
    </row>
    <row r="47" spans="1:15" s="7" customFormat="1" ht="49.5" customHeight="1">
      <c r="A47" s="35">
        <f t="shared" si="1"/>
        <v>45</v>
      </c>
      <c r="B47" s="36" t="s">
        <v>118</v>
      </c>
      <c r="C47" s="36" t="s">
        <v>10</v>
      </c>
      <c r="D47" s="36" t="s">
        <v>119</v>
      </c>
      <c r="E47" s="37">
        <v>27319.22</v>
      </c>
      <c r="F47" s="37">
        <v>0</v>
      </c>
      <c r="G47" s="37">
        <f t="shared" si="0"/>
        <v>27319.22</v>
      </c>
      <c r="H47" s="38" t="s">
        <v>120</v>
      </c>
      <c r="I47" s="39">
        <v>50000</v>
      </c>
      <c r="J47" s="39">
        <v>27218.1</v>
      </c>
      <c r="K47" s="41">
        <v>40179</v>
      </c>
      <c r="L47" s="46" t="s">
        <v>67</v>
      </c>
      <c r="M47" s="38" t="s">
        <v>121</v>
      </c>
      <c r="N47" s="42" t="s">
        <v>27</v>
      </c>
      <c r="O47" s="4"/>
    </row>
    <row r="48" spans="1:14" s="4" customFormat="1" ht="49.5" customHeight="1">
      <c r="A48" s="35">
        <f t="shared" si="1"/>
        <v>46</v>
      </c>
      <c r="B48" s="36" t="s">
        <v>118</v>
      </c>
      <c r="C48" s="36" t="s">
        <v>10</v>
      </c>
      <c r="D48" s="36" t="s">
        <v>242</v>
      </c>
      <c r="E48" s="37">
        <f>6284.79+5879.32+5879.32+5879.32</f>
        <v>23922.75</v>
      </c>
      <c r="F48" s="37">
        <v>0</v>
      </c>
      <c r="G48" s="37">
        <f t="shared" si="0"/>
        <v>23922.75</v>
      </c>
      <c r="H48" s="38" t="s">
        <v>120</v>
      </c>
      <c r="I48" s="39">
        <v>50000</v>
      </c>
      <c r="J48" s="39">
        <v>27218.1</v>
      </c>
      <c r="K48" s="41">
        <v>40179</v>
      </c>
      <c r="L48" s="46" t="s">
        <v>67</v>
      </c>
      <c r="M48" s="38" t="s">
        <v>121</v>
      </c>
      <c r="N48" s="42" t="s">
        <v>27</v>
      </c>
    </row>
    <row r="49" spans="1:14" s="4" customFormat="1" ht="49.5" customHeight="1">
      <c r="A49" s="35">
        <f t="shared" si="1"/>
        <v>47</v>
      </c>
      <c r="B49" s="36" t="s">
        <v>118</v>
      </c>
      <c r="C49" s="36" t="s">
        <v>10</v>
      </c>
      <c r="D49" s="36" t="s">
        <v>122</v>
      </c>
      <c r="E49" s="37">
        <v>0</v>
      </c>
      <c r="F49" s="37">
        <v>0</v>
      </c>
      <c r="G49" s="37">
        <f t="shared" si="0"/>
        <v>0</v>
      </c>
      <c r="H49" s="38" t="s">
        <v>123</v>
      </c>
      <c r="I49" s="39">
        <v>2950</v>
      </c>
      <c r="J49" s="39">
        <v>2950</v>
      </c>
      <c r="K49" s="41">
        <v>40118</v>
      </c>
      <c r="L49" s="46" t="s">
        <v>67</v>
      </c>
      <c r="M49" s="38" t="s">
        <v>26</v>
      </c>
      <c r="N49" s="42" t="s">
        <v>27</v>
      </c>
    </row>
    <row r="50" spans="1:14" s="4" customFormat="1" ht="49.5" customHeight="1">
      <c r="A50" s="35">
        <f t="shared" si="1"/>
        <v>48</v>
      </c>
      <c r="B50" s="36" t="s">
        <v>118</v>
      </c>
      <c r="C50" s="36" t="s">
        <v>10</v>
      </c>
      <c r="D50" s="36" t="s">
        <v>124</v>
      </c>
      <c r="E50" s="37">
        <v>0</v>
      </c>
      <c r="F50" s="37">
        <v>0</v>
      </c>
      <c r="G50" s="37">
        <f t="shared" si="0"/>
        <v>0</v>
      </c>
      <c r="H50" s="38" t="s">
        <v>123</v>
      </c>
      <c r="I50" s="39">
        <v>900</v>
      </c>
      <c r="J50" s="39">
        <v>925</v>
      </c>
      <c r="K50" s="41">
        <v>40179</v>
      </c>
      <c r="L50" s="46" t="s">
        <v>67</v>
      </c>
      <c r="M50" s="38" t="s">
        <v>26</v>
      </c>
      <c r="N50" s="42" t="s">
        <v>27</v>
      </c>
    </row>
    <row r="51" spans="1:14" s="4" customFormat="1" ht="49.5" customHeight="1">
      <c r="A51" s="35">
        <f t="shared" si="1"/>
        <v>49</v>
      </c>
      <c r="B51" s="36" t="s">
        <v>118</v>
      </c>
      <c r="C51" s="36" t="s">
        <v>10</v>
      </c>
      <c r="D51" s="36" t="s">
        <v>125</v>
      </c>
      <c r="E51" s="37">
        <v>9000</v>
      </c>
      <c r="F51" s="37">
        <v>0</v>
      </c>
      <c r="G51" s="37">
        <f t="shared" si="0"/>
        <v>9000</v>
      </c>
      <c r="H51" s="38" t="s">
        <v>126</v>
      </c>
      <c r="I51" s="39">
        <v>108000</v>
      </c>
      <c r="J51" s="39">
        <v>99000</v>
      </c>
      <c r="K51" s="41">
        <v>40544</v>
      </c>
      <c r="L51" s="46" t="s">
        <v>67</v>
      </c>
      <c r="M51" s="38" t="s">
        <v>26</v>
      </c>
      <c r="N51" s="42" t="s">
        <v>27</v>
      </c>
    </row>
    <row r="52" spans="1:14" s="4" customFormat="1" ht="49.5" customHeight="1">
      <c r="A52" s="35">
        <f t="shared" si="1"/>
        <v>50</v>
      </c>
      <c r="B52" s="36" t="s">
        <v>118</v>
      </c>
      <c r="C52" s="36" t="s">
        <v>10</v>
      </c>
      <c r="D52" s="36" t="s">
        <v>243</v>
      </c>
      <c r="E52" s="37">
        <f>9000+9000+9000+9000+9000</f>
        <v>45000</v>
      </c>
      <c r="F52" s="37">
        <v>0</v>
      </c>
      <c r="G52" s="37">
        <f t="shared" si="0"/>
        <v>45000</v>
      </c>
      <c r="H52" s="38" t="s">
        <v>126</v>
      </c>
      <c r="I52" s="39">
        <v>108000</v>
      </c>
      <c r="J52" s="39">
        <v>0</v>
      </c>
      <c r="K52" s="41">
        <v>40544</v>
      </c>
      <c r="L52" s="46" t="s">
        <v>67</v>
      </c>
      <c r="M52" s="38" t="s">
        <v>26</v>
      </c>
      <c r="N52" s="42" t="s">
        <v>27</v>
      </c>
    </row>
    <row r="53" spans="1:14" s="4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127</v>
      </c>
      <c r="E53" s="37">
        <v>0</v>
      </c>
      <c r="F53" s="37">
        <v>0</v>
      </c>
      <c r="G53" s="37">
        <f t="shared" si="0"/>
        <v>0</v>
      </c>
      <c r="H53" s="38" t="s">
        <v>128</v>
      </c>
      <c r="I53" s="39">
        <v>6000</v>
      </c>
      <c r="J53" s="39">
        <v>6000</v>
      </c>
      <c r="K53" s="41">
        <v>39814</v>
      </c>
      <c r="L53" s="46" t="s">
        <v>67</v>
      </c>
      <c r="M53" s="38" t="s">
        <v>26</v>
      </c>
      <c r="N53" s="42" t="s">
        <v>27</v>
      </c>
    </row>
    <row r="54" spans="1:14" s="4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244</v>
      </c>
      <c r="E54" s="37">
        <v>8793</v>
      </c>
      <c r="F54" s="37">
        <v>0</v>
      </c>
      <c r="G54" s="37">
        <f t="shared" si="0"/>
        <v>8793</v>
      </c>
      <c r="H54" s="38" t="s">
        <v>130</v>
      </c>
      <c r="I54" s="39">
        <v>60300</v>
      </c>
      <c r="J54" s="39">
        <v>50561.25</v>
      </c>
      <c r="K54" s="41" t="s">
        <v>131</v>
      </c>
      <c r="L54" s="46" t="s">
        <v>67</v>
      </c>
      <c r="M54" s="38" t="s">
        <v>26</v>
      </c>
      <c r="N54" s="42" t="s">
        <v>27</v>
      </c>
    </row>
    <row r="55" spans="1:14" s="4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245</v>
      </c>
      <c r="E55" s="37">
        <f>5025+5025+5025</f>
        <v>15075</v>
      </c>
      <c r="F55" s="37">
        <v>0</v>
      </c>
      <c r="G55" s="37">
        <f t="shared" si="0"/>
        <v>15075</v>
      </c>
      <c r="H55" s="38" t="s">
        <v>130</v>
      </c>
      <c r="I55" s="39">
        <v>60300</v>
      </c>
      <c r="J55" s="39">
        <v>0</v>
      </c>
      <c r="K55" s="41" t="s">
        <v>131</v>
      </c>
      <c r="L55" s="46" t="s">
        <v>67</v>
      </c>
      <c r="M55" s="38" t="s">
        <v>26</v>
      </c>
      <c r="N55" s="42" t="s">
        <v>27</v>
      </c>
    </row>
    <row r="56" spans="1:14" s="4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132</v>
      </c>
      <c r="E56" s="37">
        <f>1000</f>
        <v>1000</v>
      </c>
      <c r="F56" s="37">
        <v>0</v>
      </c>
      <c r="G56" s="37">
        <f t="shared" si="0"/>
        <v>1000</v>
      </c>
      <c r="H56" s="38" t="s">
        <v>133</v>
      </c>
      <c r="I56" s="39">
        <v>12000</v>
      </c>
      <c r="J56" s="39">
        <v>11000</v>
      </c>
      <c r="K56" s="41">
        <v>40544</v>
      </c>
      <c r="L56" s="46" t="s">
        <v>67</v>
      </c>
      <c r="M56" s="38" t="s">
        <v>26</v>
      </c>
      <c r="N56" s="42" t="s">
        <v>27</v>
      </c>
    </row>
    <row r="57" spans="1:14" s="4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246</v>
      </c>
      <c r="E57" s="37">
        <f>1000+1000+1000+1000+1000</f>
        <v>5000</v>
      </c>
      <c r="F57" s="37">
        <v>0</v>
      </c>
      <c r="G57" s="37">
        <f t="shared" si="0"/>
        <v>5000</v>
      </c>
      <c r="H57" s="38" t="s">
        <v>133</v>
      </c>
      <c r="I57" s="39">
        <v>12000</v>
      </c>
      <c r="J57" s="39">
        <v>0</v>
      </c>
      <c r="K57" s="41">
        <v>40544</v>
      </c>
      <c r="L57" s="46" t="s">
        <v>67</v>
      </c>
      <c r="M57" s="38" t="s">
        <v>26</v>
      </c>
      <c r="N57" s="42" t="s">
        <v>27</v>
      </c>
    </row>
    <row r="58" spans="1:14" s="4" customFormat="1" ht="49.5" customHeight="1">
      <c r="A58" s="35">
        <f t="shared" si="1"/>
        <v>56</v>
      </c>
      <c r="B58" s="36" t="s">
        <v>118</v>
      </c>
      <c r="C58" s="36" t="s">
        <v>15</v>
      </c>
      <c r="D58" s="36" t="s">
        <v>134</v>
      </c>
      <c r="E58" s="37">
        <f>9000+9000+9000+9000+9000</f>
        <v>45000</v>
      </c>
      <c r="F58" s="37">
        <v>0</v>
      </c>
      <c r="G58" s="37">
        <f t="shared" si="0"/>
        <v>45000</v>
      </c>
      <c r="H58" s="38" t="s">
        <v>135</v>
      </c>
      <c r="I58" s="39">
        <v>108000</v>
      </c>
      <c r="J58" s="39">
        <v>0</v>
      </c>
      <c r="K58" s="41">
        <v>40544</v>
      </c>
      <c r="L58" s="46" t="s">
        <v>67</v>
      </c>
      <c r="M58" s="38" t="s">
        <v>26</v>
      </c>
      <c r="N58" s="42" t="s">
        <v>27</v>
      </c>
    </row>
    <row r="59" spans="1:14" s="4" customFormat="1" ht="49.5" customHeight="1">
      <c r="A59" s="35">
        <f t="shared" si="1"/>
        <v>57</v>
      </c>
      <c r="B59" s="36" t="s">
        <v>118</v>
      </c>
      <c r="C59" s="36" t="s">
        <v>15</v>
      </c>
      <c r="D59" s="36" t="s">
        <v>247</v>
      </c>
      <c r="E59" s="37">
        <f>12500+14700+14700+14700</f>
        <v>56600</v>
      </c>
      <c r="F59" s="37">
        <v>0</v>
      </c>
      <c r="G59" s="37">
        <f t="shared" si="0"/>
        <v>56600</v>
      </c>
      <c r="H59" s="38" t="s">
        <v>137</v>
      </c>
      <c r="I59" s="39">
        <f>12500*12</f>
        <v>150000</v>
      </c>
      <c r="J59" s="39">
        <v>0</v>
      </c>
      <c r="K59" s="41">
        <v>40544</v>
      </c>
      <c r="L59" s="46" t="s">
        <v>67</v>
      </c>
      <c r="M59" s="38" t="s">
        <v>26</v>
      </c>
      <c r="N59" s="42" t="s">
        <v>27</v>
      </c>
    </row>
    <row r="60" spans="1:14" s="4" customFormat="1" ht="49.5" customHeight="1">
      <c r="A60" s="35">
        <f t="shared" si="1"/>
        <v>58</v>
      </c>
      <c r="B60" s="36" t="s">
        <v>118</v>
      </c>
      <c r="C60" s="36" t="s">
        <v>15</v>
      </c>
      <c r="D60" s="36" t="s">
        <v>136</v>
      </c>
      <c r="E60" s="37">
        <v>10300</v>
      </c>
      <c r="F60" s="37">
        <v>0</v>
      </c>
      <c r="G60" s="37">
        <f t="shared" si="0"/>
        <v>10300</v>
      </c>
      <c r="H60" s="38" t="s">
        <v>137</v>
      </c>
      <c r="I60" s="39">
        <f>10300*12</f>
        <v>123600</v>
      </c>
      <c r="J60" s="39">
        <v>113300</v>
      </c>
      <c r="K60" s="41">
        <v>40544</v>
      </c>
      <c r="L60" s="46" t="s">
        <v>67</v>
      </c>
      <c r="M60" s="38" t="s">
        <v>26</v>
      </c>
      <c r="N60" s="42" t="s">
        <v>27</v>
      </c>
    </row>
    <row r="61" spans="1:14" s="4" customFormat="1" ht="49.5" customHeight="1">
      <c r="A61" s="35">
        <f t="shared" si="1"/>
        <v>59</v>
      </c>
      <c r="B61" s="36" t="s">
        <v>118</v>
      </c>
      <c r="C61" s="36" t="s">
        <v>15</v>
      </c>
      <c r="D61" s="36" t="s">
        <v>138</v>
      </c>
      <c r="E61" s="37">
        <v>2200</v>
      </c>
      <c r="F61" s="37">
        <v>0</v>
      </c>
      <c r="G61" s="37">
        <f t="shared" si="0"/>
        <v>2200</v>
      </c>
      <c r="H61" s="38" t="s">
        <v>139</v>
      </c>
      <c r="I61" s="39">
        <v>26400</v>
      </c>
      <c r="J61" s="39">
        <f>11*2200</f>
        <v>24200</v>
      </c>
      <c r="K61" s="41">
        <v>40544</v>
      </c>
      <c r="L61" s="46" t="s">
        <v>67</v>
      </c>
      <c r="M61" s="38" t="s">
        <v>26</v>
      </c>
      <c r="N61" s="42" t="s">
        <v>27</v>
      </c>
    </row>
    <row r="62" spans="1:14" s="4" customFormat="1" ht="49.5" customHeight="1">
      <c r="A62" s="35">
        <f t="shared" si="1"/>
        <v>60</v>
      </c>
      <c r="B62" s="36" t="s">
        <v>118</v>
      </c>
      <c r="C62" s="36" t="s">
        <v>15</v>
      </c>
      <c r="D62" s="36" t="s">
        <v>140</v>
      </c>
      <c r="E62" s="37">
        <f>2835</f>
        <v>2835</v>
      </c>
      <c r="F62" s="37">
        <v>0</v>
      </c>
      <c r="G62" s="37">
        <f t="shared" si="0"/>
        <v>2835</v>
      </c>
      <c r="H62" s="38" t="s">
        <v>141</v>
      </c>
      <c r="I62" s="39">
        <v>34020</v>
      </c>
      <c r="J62" s="39">
        <f>11*2835</f>
        <v>31185</v>
      </c>
      <c r="K62" s="41">
        <v>40544</v>
      </c>
      <c r="L62" s="46" t="s">
        <v>67</v>
      </c>
      <c r="M62" s="38" t="s">
        <v>26</v>
      </c>
      <c r="N62" s="42" t="s">
        <v>27</v>
      </c>
    </row>
    <row r="63" spans="1:14" s="4" customFormat="1" ht="49.5" customHeight="1">
      <c r="A63" s="35">
        <f t="shared" si="1"/>
        <v>61</v>
      </c>
      <c r="B63" s="36" t="s">
        <v>118</v>
      </c>
      <c r="C63" s="36" t="s">
        <v>15</v>
      </c>
      <c r="D63" s="36" t="s">
        <v>248</v>
      </c>
      <c r="E63" s="37">
        <f>2835+2835+2835+2835</f>
        <v>11340</v>
      </c>
      <c r="F63" s="37">
        <v>0</v>
      </c>
      <c r="G63" s="37">
        <f t="shared" si="0"/>
        <v>11340</v>
      </c>
      <c r="H63" s="38" t="s">
        <v>141</v>
      </c>
      <c r="I63" s="39">
        <v>34020</v>
      </c>
      <c r="J63" s="39">
        <v>0</v>
      </c>
      <c r="K63" s="41">
        <v>40544</v>
      </c>
      <c r="L63" s="46" t="s">
        <v>67</v>
      </c>
      <c r="M63" s="38" t="s">
        <v>26</v>
      </c>
      <c r="N63" s="42" t="s">
        <v>27</v>
      </c>
    </row>
    <row r="64" spans="1:14" s="4" customFormat="1" ht="49.5" customHeight="1">
      <c r="A64" s="35">
        <f t="shared" si="1"/>
        <v>62</v>
      </c>
      <c r="B64" s="36" t="s">
        <v>118</v>
      </c>
      <c r="C64" s="36" t="s">
        <v>15</v>
      </c>
      <c r="D64" s="36" t="s">
        <v>234</v>
      </c>
      <c r="E64" s="37">
        <v>0</v>
      </c>
      <c r="F64" s="37">
        <v>0</v>
      </c>
      <c r="G64" s="37">
        <f t="shared" si="0"/>
        <v>0</v>
      </c>
      <c r="H64" s="38" t="s">
        <v>143</v>
      </c>
      <c r="I64" s="39">
        <v>12000</v>
      </c>
      <c r="J64" s="39">
        <v>1000</v>
      </c>
      <c r="K64" s="41">
        <v>40544</v>
      </c>
      <c r="L64" s="46" t="s">
        <v>67</v>
      </c>
      <c r="M64" s="38" t="s">
        <v>26</v>
      </c>
      <c r="N64" s="42" t="s">
        <v>27</v>
      </c>
    </row>
    <row r="65" spans="1:14" s="4" customFormat="1" ht="49.5" customHeight="1">
      <c r="A65" s="35">
        <f t="shared" si="1"/>
        <v>63</v>
      </c>
      <c r="B65" s="36" t="s">
        <v>118</v>
      </c>
      <c r="C65" s="36" t="s">
        <v>10</v>
      </c>
      <c r="D65" s="36" t="s">
        <v>144</v>
      </c>
      <c r="E65" s="37">
        <f>1903.88+1903.88</f>
        <v>3807.76</v>
      </c>
      <c r="F65" s="37">
        <v>0</v>
      </c>
      <c r="G65" s="37">
        <f t="shared" si="0"/>
        <v>3807.76</v>
      </c>
      <c r="H65" s="38" t="s">
        <v>145</v>
      </c>
      <c r="I65" s="39">
        <v>11450</v>
      </c>
      <c r="J65" s="39">
        <v>0</v>
      </c>
      <c r="K65" s="41">
        <v>40544</v>
      </c>
      <c r="L65" s="46" t="s">
        <v>67</v>
      </c>
      <c r="M65" s="38" t="s">
        <v>26</v>
      </c>
      <c r="N65" s="42" t="s">
        <v>27</v>
      </c>
    </row>
    <row r="66" spans="1:14" s="4" customFormat="1" ht="49.5" customHeight="1">
      <c r="A66" s="35">
        <f t="shared" si="1"/>
        <v>64</v>
      </c>
      <c r="B66" s="36" t="s">
        <v>118</v>
      </c>
      <c r="C66" s="36" t="s">
        <v>10</v>
      </c>
      <c r="D66" s="36" t="s">
        <v>249</v>
      </c>
      <c r="E66" s="37">
        <f>1113.57+1113.57+1113.57+1113.57+3017.45</f>
        <v>7471.73</v>
      </c>
      <c r="F66" s="37">
        <v>0</v>
      </c>
      <c r="G66" s="37">
        <f t="shared" si="0"/>
        <v>7471.73</v>
      </c>
      <c r="H66" s="38" t="s">
        <v>145</v>
      </c>
      <c r="I66" s="39">
        <v>11450</v>
      </c>
      <c r="J66" s="39">
        <v>0</v>
      </c>
      <c r="K66" s="41">
        <v>40544</v>
      </c>
      <c r="L66" s="46" t="s">
        <v>67</v>
      </c>
      <c r="M66" s="38" t="s">
        <v>26</v>
      </c>
      <c r="N66" s="42" t="s">
        <v>27</v>
      </c>
    </row>
    <row r="67" spans="1:14" s="4" customFormat="1" ht="49.5" customHeight="1">
      <c r="A67" s="35">
        <f t="shared" si="1"/>
        <v>65</v>
      </c>
      <c r="B67" s="36" t="s">
        <v>118</v>
      </c>
      <c r="C67" s="36" t="s">
        <v>146</v>
      </c>
      <c r="D67" s="36" t="s">
        <v>147</v>
      </c>
      <c r="E67" s="37">
        <v>0</v>
      </c>
      <c r="F67" s="37">
        <v>0</v>
      </c>
      <c r="G67" s="37">
        <f aca="true" t="shared" si="2" ref="G67:G96">E67+F67</f>
        <v>0</v>
      </c>
      <c r="H67" s="38" t="s">
        <v>148</v>
      </c>
      <c r="I67" s="39">
        <v>480000</v>
      </c>
      <c r="J67" s="39">
        <v>480000</v>
      </c>
      <c r="K67" s="41">
        <v>40141</v>
      </c>
      <c r="L67" s="46">
        <v>41049</v>
      </c>
      <c r="M67" s="38" t="s">
        <v>26</v>
      </c>
      <c r="N67" s="42" t="s">
        <v>27</v>
      </c>
    </row>
    <row r="68" spans="1:14" s="4" customFormat="1" ht="49.5" customHeight="1">
      <c r="A68" s="35">
        <f aca="true" t="shared" si="3" ref="A68:A96">A67+1</f>
        <v>66</v>
      </c>
      <c r="B68" s="36" t="s">
        <v>149</v>
      </c>
      <c r="C68" s="36" t="s">
        <v>150</v>
      </c>
      <c r="D68" s="36" t="s">
        <v>151</v>
      </c>
      <c r="E68" s="37">
        <v>0</v>
      </c>
      <c r="F68" s="37">
        <v>0</v>
      </c>
      <c r="G68" s="37">
        <f t="shared" si="2"/>
        <v>0</v>
      </c>
      <c r="H68" s="38" t="s">
        <v>152</v>
      </c>
      <c r="I68" s="39">
        <v>1800000</v>
      </c>
      <c r="J68" s="39">
        <v>1080000</v>
      </c>
      <c r="K68" s="41">
        <v>40638</v>
      </c>
      <c r="L68" s="46">
        <v>41002</v>
      </c>
      <c r="M68" s="38" t="s">
        <v>26</v>
      </c>
      <c r="N68" s="42" t="s">
        <v>68</v>
      </c>
    </row>
    <row r="69" spans="1:14" s="4" customFormat="1" ht="49.5" customHeight="1">
      <c r="A69" s="35">
        <f t="shared" si="3"/>
        <v>67</v>
      </c>
      <c r="B69" s="36" t="s">
        <v>153</v>
      </c>
      <c r="C69" s="36" t="s">
        <v>154</v>
      </c>
      <c r="D69" s="36" t="s">
        <v>155</v>
      </c>
      <c r="E69" s="37">
        <v>0</v>
      </c>
      <c r="F69" s="37">
        <v>0</v>
      </c>
      <c r="G69" s="37">
        <f t="shared" si="2"/>
        <v>0</v>
      </c>
      <c r="H69" s="38" t="s">
        <v>156</v>
      </c>
      <c r="I69" s="39">
        <v>5860725</v>
      </c>
      <c r="J69" s="39">
        <v>5860725</v>
      </c>
      <c r="K69" s="41">
        <v>38884</v>
      </c>
      <c r="L69" s="46">
        <v>40451</v>
      </c>
      <c r="M69" s="38" t="s">
        <v>26</v>
      </c>
      <c r="N69" s="42" t="s">
        <v>27</v>
      </c>
    </row>
    <row r="70" spans="1:14" s="4" customFormat="1" ht="49.5" customHeight="1">
      <c r="A70" s="35">
        <f t="shared" si="3"/>
        <v>68</v>
      </c>
      <c r="B70" s="36" t="s">
        <v>153</v>
      </c>
      <c r="C70" s="36" t="s">
        <v>154</v>
      </c>
      <c r="D70" s="36" t="s">
        <v>157</v>
      </c>
      <c r="E70" s="37">
        <f>723449.59+353122.79+112433.15+134435.75+243087.79</f>
        <v>1566529.0699999998</v>
      </c>
      <c r="F70" s="37">
        <v>0</v>
      </c>
      <c r="G70" s="37">
        <f t="shared" si="2"/>
        <v>1566529.0699999998</v>
      </c>
      <c r="H70" s="38" t="s">
        <v>158</v>
      </c>
      <c r="I70" s="39">
        <v>4900000</v>
      </c>
      <c r="J70" s="39">
        <f>571422.36+2000142.18</f>
        <v>2571564.54</v>
      </c>
      <c r="K70" s="41">
        <v>39447</v>
      </c>
      <c r="L70" s="46">
        <v>40482</v>
      </c>
      <c r="M70" s="38" t="s">
        <v>159</v>
      </c>
      <c r="N70" s="42" t="s">
        <v>27</v>
      </c>
    </row>
    <row r="71" spans="1:14" s="4" customFormat="1" ht="49.5" customHeight="1">
      <c r="A71" s="35">
        <f t="shared" si="3"/>
        <v>69</v>
      </c>
      <c r="B71" s="36" t="s">
        <v>153</v>
      </c>
      <c r="C71" s="36" t="s">
        <v>154</v>
      </c>
      <c r="D71" s="36" t="s">
        <v>160</v>
      </c>
      <c r="E71" s="37">
        <v>0</v>
      </c>
      <c r="F71" s="37">
        <v>0</v>
      </c>
      <c r="G71" s="37">
        <f t="shared" si="2"/>
        <v>0</v>
      </c>
      <c r="H71" s="38" t="s">
        <v>161</v>
      </c>
      <c r="I71" s="39">
        <v>8195570</v>
      </c>
      <c r="J71" s="39">
        <f>827000+110901.25+287371.7</f>
        <v>1225272.95</v>
      </c>
      <c r="K71" s="41">
        <v>39447</v>
      </c>
      <c r="L71" s="46">
        <v>40471</v>
      </c>
      <c r="M71" s="38" t="s">
        <v>159</v>
      </c>
      <c r="N71" s="42" t="s">
        <v>27</v>
      </c>
    </row>
    <row r="72" spans="1:14" s="4" customFormat="1" ht="49.5" customHeight="1">
      <c r="A72" s="35">
        <f t="shared" si="3"/>
        <v>70</v>
      </c>
      <c r="B72" s="36" t="s">
        <v>153</v>
      </c>
      <c r="C72" s="36" t="s">
        <v>162</v>
      </c>
      <c r="D72" s="36" t="s">
        <v>163</v>
      </c>
      <c r="E72" s="37">
        <v>0</v>
      </c>
      <c r="F72" s="37">
        <v>0</v>
      </c>
      <c r="G72" s="37">
        <f t="shared" si="2"/>
        <v>0</v>
      </c>
      <c r="H72" s="38" t="s">
        <v>164</v>
      </c>
      <c r="I72" s="39">
        <v>394200</v>
      </c>
      <c r="J72" s="39">
        <v>394200</v>
      </c>
      <c r="K72" s="41">
        <v>40528</v>
      </c>
      <c r="L72" s="46">
        <v>41455</v>
      </c>
      <c r="M72" s="38" t="s">
        <v>26</v>
      </c>
      <c r="N72" s="42" t="s">
        <v>27</v>
      </c>
    </row>
    <row r="73" spans="1:14" s="4" customFormat="1" ht="49.5" customHeight="1">
      <c r="A73" s="35">
        <f t="shared" si="3"/>
        <v>71</v>
      </c>
      <c r="B73" s="36" t="s">
        <v>153</v>
      </c>
      <c r="C73" s="36" t="s">
        <v>162</v>
      </c>
      <c r="D73" s="36" t="s">
        <v>165</v>
      </c>
      <c r="E73" s="37">
        <v>57311.33</v>
      </c>
      <c r="F73" s="37">
        <v>0</v>
      </c>
      <c r="G73" s="37">
        <f t="shared" si="2"/>
        <v>57311.33</v>
      </c>
      <c r="H73" s="38" t="s">
        <v>166</v>
      </c>
      <c r="I73" s="39">
        <v>255740</v>
      </c>
      <c r="J73" s="39">
        <v>86491.27</v>
      </c>
      <c r="K73" s="41">
        <v>40528</v>
      </c>
      <c r="L73" s="46">
        <v>41455</v>
      </c>
      <c r="M73" s="38" t="s">
        <v>26</v>
      </c>
      <c r="N73" s="42" t="s">
        <v>27</v>
      </c>
    </row>
    <row r="74" spans="1:14" s="4" customFormat="1" ht="49.5" customHeight="1">
      <c r="A74" s="35">
        <f t="shared" si="3"/>
        <v>72</v>
      </c>
      <c r="B74" s="36" t="s">
        <v>153</v>
      </c>
      <c r="C74" s="36" t="s">
        <v>162</v>
      </c>
      <c r="D74" s="36" t="s">
        <v>167</v>
      </c>
      <c r="E74" s="37">
        <v>0</v>
      </c>
      <c r="F74" s="37">
        <v>0</v>
      </c>
      <c r="G74" s="37">
        <f t="shared" si="2"/>
        <v>0</v>
      </c>
      <c r="H74" s="38" t="s">
        <v>168</v>
      </c>
      <c r="I74" s="39">
        <v>295300</v>
      </c>
      <c r="J74" s="39">
        <v>103414.06</v>
      </c>
      <c r="K74" s="41">
        <v>40528</v>
      </c>
      <c r="L74" s="46">
        <v>41455</v>
      </c>
      <c r="M74" s="38" t="s">
        <v>26</v>
      </c>
      <c r="N74" s="42" t="s">
        <v>27</v>
      </c>
    </row>
    <row r="75" spans="1:14" s="4" customFormat="1" ht="49.5" customHeight="1">
      <c r="A75" s="35">
        <f t="shared" si="3"/>
        <v>73</v>
      </c>
      <c r="B75" s="36" t="s">
        <v>153</v>
      </c>
      <c r="C75" s="36" t="s">
        <v>162</v>
      </c>
      <c r="D75" s="36" t="s">
        <v>169</v>
      </c>
      <c r="E75" s="37">
        <v>0</v>
      </c>
      <c r="F75" s="37">
        <v>0</v>
      </c>
      <c r="G75" s="37">
        <f t="shared" si="2"/>
        <v>0</v>
      </c>
      <c r="H75" s="38" t="s">
        <v>170</v>
      </c>
      <c r="I75" s="39">
        <v>245850</v>
      </c>
      <c r="J75" s="39">
        <v>85383.7</v>
      </c>
      <c r="K75" s="41">
        <v>40528</v>
      </c>
      <c r="L75" s="46">
        <v>41455</v>
      </c>
      <c r="M75" s="38" t="s">
        <v>26</v>
      </c>
      <c r="N75" s="42" t="s">
        <v>27</v>
      </c>
    </row>
    <row r="76" spans="1:14" s="4" customFormat="1" ht="49.5" customHeight="1">
      <c r="A76" s="35">
        <f t="shared" si="3"/>
        <v>74</v>
      </c>
      <c r="B76" s="36" t="s">
        <v>171</v>
      </c>
      <c r="C76" s="36" t="s">
        <v>172</v>
      </c>
      <c r="D76" s="36" t="s">
        <v>173</v>
      </c>
      <c r="E76" s="37">
        <v>0</v>
      </c>
      <c r="F76" s="37">
        <v>0</v>
      </c>
      <c r="G76" s="37">
        <f t="shared" si="2"/>
        <v>0</v>
      </c>
      <c r="H76" s="38" t="s">
        <v>174</v>
      </c>
      <c r="I76" s="39">
        <v>97500</v>
      </c>
      <c r="J76" s="39">
        <v>48750</v>
      </c>
      <c r="K76" s="41">
        <v>40057</v>
      </c>
      <c r="L76" s="46">
        <v>40452</v>
      </c>
      <c r="M76" s="38" t="s">
        <v>26</v>
      </c>
      <c r="N76" s="42" t="s">
        <v>27</v>
      </c>
    </row>
    <row r="77" spans="1:14" s="4" customFormat="1" ht="49.5" customHeight="1">
      <c r="A77" s="35">
        <f t="shared" si="3"/>
        <v>75</v>
      </c>
      <c r="B77" s="36" t="s">
        <v>175</v>
      </c>
      <c r="C77" s="36" t="s">
        <v>176</v>
      </c>
      <c r="D77" s="36" t="s">
        <v>177</v>
      </c>
      <c r="E77" s="37">
        <v>0</v>
      </c>
      <c r="F77" s="37">
        <v>0</v>
      </c>
      <c r="G77" s="37">
        <f t="shared" si="2"/>
        <v>0</v>
      </c>
      <c r="H77" s="38" t="s">
        <v>178</v>
      </c>
      <c r="I77" s="39">
        <v>146250</v>
      </c>
      <c r="J77" s="39">
        <v>146250</v>
      </c>
      <c r="K77" s="41">
        <v>39812</v>
      </c>
      <c r="L77" s="46">
        <v>40663</v>
      </c>
      <c r="M77" s="38" t="s">
        <v>26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175</v>
      </c>
      <c r="C78" s="36" t="s">
        <v>176</v>
      </c>
      <c r="D78" s="36" t="s">
        <v>179</v>
      </c>
      <c r="E78" s="37">
        <v>0</v>
      </c>
      <c r="F78" s="37">
        <v>0</v>
      </c>
      <c r="G78" s="37">
        <f t="shared" si="2"/>
        <v>0</v>
      </c>
      <c r="H78" s="38" t="s">
        <v>180</v>
      </c>
      <c r="I78" s="39">
        <v>254104.34</v>
      </c>
      <c r="J78" s="39">
        <v>254104.34</v>
      </c>
      <c r="K78" s="41">
        <v>40361</v>
      </c>
      <c r="L78" s="46">
        <v>40723</v>
      </c>
      <c r="M78" s="38" t="s">
        <v>26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181</v>
      </c>
      <c r="C79" s="36" t="s">
        <v>182</v>
      </c>
      <c r="D79" s="36" t="s">
        <v>236</v>
      </c>
      <c r="E79" s="37">
        <v>0</v>
      </c>
      <c r="F79" s="37">
        <v>0</v>
      </c>
      <c r="G79" s="37">
        <f t="shared" si="2"/>
        <v>0</v>
      </c>
      <c r="H79" s="38" t="s">
        <v>184</v>
      </c>
      <c r="I79" s="39">
        <v>72000</v>
      </c>
      <c r="J79" s="39">
        <v>71997.99</v>
      </c>
      <c r="K79" s="41">
        <v>40544</v>
      </c>
      <c r="L79" s="46" t="s">
        <v>67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181</v>
      </c>
      <c r="C80" s="36" t="s">
        <v>185</v>
      </c>
      <c r="D80" s="36" t="s">
        <v>237</v>
      </c>
      <c r="E80" s="37">
        <f>25000+25000</f>
        <v>50000</v>
      </c>
      <c r="F80" s="37">
        <v>0</v>
      </c>
      <c r="G80" s="37">
        <f t="shared" si="2"/>
        <v>50000</v>
      </c>
      <c r="H80" s="38" t="s">
        <v>187</v>
      </c>
      <c r="I80" s="39">
        <v>105000</v>
      </c>
      <c r="J80" s="39">
        <v>82954.57</v>
      </c>
      <c r="K80" s="41">
        <v>40544</v>
      </c>
      <c r="L80" s="46" t="s">
        <v>67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181</v>
      </c>
      <c r="C81" s="36" t="s">
        <v>188</v>
      </c>
      <c r="D81" s="36" t="s">
        <v>189</v>
      </c>
      <c r="E81" s="37">
        <v>500000</v>
      </c>
      <c r="F81" s="37">
        <v>0</v>
      </c>
      <c r="G81" s="37">
        <f t="shared" si="2"/>
        <v>500000</v>
      </c>
      <c r="H81" s="38" t="s">
        <v>190</v>
      </c>
      <c r="I81" s="39">
        <v>2000000</v>
      </c>
      <c r="J81" s="39">
        <f>200000+1300000</f>
        <v>1500000</v>
      </c>
      <c r="K81" s="41">
        <v>40057</v>
      </c>
      <c r="L81" s="46" t="s">
        <v>67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181</v>
      </c>
      <c r="C82" s="36" t="s">
        <v>191</v>
      </c>
      <c r="D82" s="36" t="s">
        <v>250</v>
      </c>
      <c r="E82" s="37">
        <f>8800+17600+8800+8800+8800+8800</f>
        <v>61600</v>
      </c>
      <c r="F82" s="37">
        <v>0</v>
      </c>
      <c r="G82" s="37">
        <f t="shared" si="2"/>
        <v>61600</v>
      </c>
      <c r="H82" s="44" t="s">
        <v>193</v>
      </c>
      <c r="I82" s="45">
        <v>105600</v>
      </c>
      <c r="J82" s="45">
        <v>88000</v>
      </c>
      <c r="K82" s="41">
        <v>40544</v>
      </c>
      <c r="L82" s="46" t="s">
        <v>67</v>
      </c>
      <c r="M82" s="46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181</v>
      </c>
      <c r="C83" s="36" t="s">
        <v>194</v>
      </c>
      <c r="D83" s="36" t="s">
        <v>251</v>
      </c>
      <c r="E83" s="37">
        <f>96652.2+32217.4+32217.4</f>
        <v>161087</v>
      </c>
      <c r="F83" s="37">
        <v>0</v>
      </c>
      <c r="G83" s="37">
        <f t="shared" si="2"/>
        <v>161087</v>
      </c>
      <c r="H83" s="44" t="s">
        <v>196</v>
      </c>
      <c r="I83" s="45">
        <v>386608.8</v>
      </c>
      <c r="J83" s="45">
        <v>354391.4</v>
      </c>
      <c r="K83" s="41">
        <v>40544</v>
      </c>
      <c r="L83" s="46" t="s">
        <v>67</v>
      </c>
      <c r="M83" s="46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181</v>
      </c>
      <c r="C84" s="36" t="s">
        <v>185</v>
      </c>
      <c r="D84" s="36" t="s">
        <v>197</v>
      </c>
      <c r="E84" s="37">
        <v>36000</v>
      </c>
      <c r="F84" s="37">
        <v>0</v>
      </c>
      <c r="G84" s="37">
        <f t="shared" si="2"/>
        <v>36000</v>
      </c>
      <c r="H84" s="44" t="s">
        <v>184</v>
      </c>
      <c r="I84" s="45">
        <v>36000</v>
      </c>
      <c r="J84" s="45">
        <v>0</v>
      </c>
      <c r="K84" s="41">
        <v>40544</v>
      </c>
      <c r="L84" s="46" t="s">
        <v>67</v>
      </c>
      <c r="M84" s="46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181</v>
      </c>
      <c r="C85" s="36" t="s">
        <v>185</v>
      </c>
      <c r="D85" s="36" t="s">
        <v>198</v>
      </c>
      <c r="E85" s="37">
        <f>4407.62+71493.36+72156.88</f>
        <v>148057.86</v>
      </c>
      <c r="F85" s="37">
        <v>0</v>
      </c>
      <c r="G85" s="37">
        <f t="shared" si="2"/>
        <v>148057.86</v>
      </c>
      <c r="H85" s="44" t="s">
        <v>184</v>
      </c>
      <c r="I85" s="45">
        <v>245000</v>
      </c>
      <c r="J85" s="45">
        <v>237337.58</v>
      </c>
      <c r="K85" s="41">
        <v>40544</v>
      </c>
      <c r="L85" s="46" t="s">
        <v>67</v>
      </c>
      <c r="M85" s="46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181</v>
      </c>
      <c r="C86" s="36" t="s">
        <v>199</v>
      </c>
      <c r="D86" s="36" t="s">
        <v>200</v>
      </c>
      <c r="E86" s="37">
        <v>0</v>
      </c>
      <c r="F86" s="37">
        <v>0</v>
      </c>
      <c r="G86" s="37">
        <f t="shared" si="2"/>
        <v>0</v>
      </c>
      <c r="H86" s="44" t="s">
        <v>201</v>
      </c>
      <c r="I86" s="45">
        <v>95000</v>
      </c>
      <c r="J86" s="37">
        <v>95000</v>
      </c>
      <c r="K86" s="41">
        <v>40483</v>
      </c>
      <c r="L86" s="46" t="s">
        <v>67</v>
      </c>
      <c r="M86" s="46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36" t="s">
        <v>199</v>
      </c>
      <c r="D87" s="36" t="s">
        <v>202</v>
      </c>
      <c r="E87" s="37">
        <v>0</v>
      </c>
      <c r="F87" s="37">
        <v>0</v>
      </c>
      <c r="G87" s="37">
        <f t="shared" si="2"/>
        <v>0</v>
      </c>
      <c r="H87" s="44" t="s">
        <v>201</v>
      </c>
      <c r="I87" s="45">
        <v>30000</v>
      </c>
      <c r="J87" s="37">
        <v>30000</v>
      </c>
      <c r="K87" s="41">
        <v>40483</v>
      </c>
      <c r="L87" s="46" t="s">
        <v>67</v>
      </c>
      <c r="M87" s="46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36" t="s">
        <v>199</v>
      </c>
      <c r="D88" s="36" t="s">
        <v>203</v>
      </c>
      <c r="E88" s="37">
        <v>1950</v>
      </c>
      <c r="F88" s="37">
        <v>0</v>
      </c>
      <c r="G88" s="37">
        <f t="shared" si="2"/>
        <v>1950</v>
      </c>
      <c r="H88" s="44" t="s">
        <v>201</v>
      </c>
      <c r="I88" s="45">
        <v>1950</v>
      </c>
      <c r="J88" s="37">
        <v>0</v>
      </c>
      <c r="K88" s="41">
        <v>40878</v>
      </c>
      <c r="L88" s="46" t="s">
        <v>67</v>
      </c>
      <c r="M88" s="46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36" t="s">
        <v>204</v>
      </c>
      <c r="D89" s="36" t="s">
        <v>205</v>
      </c>
      <c r="E89" s="37">
        <v>0</v>
      </c>
      <c r="F89" s="37">
        <v>0</v>
      </c>
      <c r="G89" s="37">
        <f t="shared" si="2"/>
        <v>0</v>
      </c>
      <c r="H89" s="44" t="s">
        <v>206</v>
      </c>
      <c r="I89" s="45">
        <v>266666.7</v>
      </c>
      <c r="J89" s="37">
        <v>26666.67</v>
      </c>
      <c r="K89" s="41">
        <v>40544</v>
      </c>
      <c r="L89" s="46" t="s">
        <v>67</v>
      </c>
      <c r="M89" s="46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36" t="s">
        <v>204</v>
      </c>
      <c r="D90" s="36" t="s">
        <v>207</v>
      </c>
      <c r="E90" s="37">
        <v>0</v>
      </c>
      <c r="F90" s="37">
        <v>0</v>
      </c>
      <c r="G90" s="37">
        <f t="shared" si="2"/>
        <v>0</v>
      </c>
      <c r="H90" s="44" t="s">
        <v>208</v>
      </c>
      <c r="I90" s="45">
        <v>200000</v>
      </c>
      <c r="J90" s="37">
        <v>20000</v>
      </c>
      <c r="K90" s="41">
        <v>40544</v>
      </c>
      <c r="L90" s="46" t="s">
        <v>67</v>
      </c>
      <c r="M90" s="46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36" t="s">
        <v>204</v>
      </c>
      <c r="D91" s="36" t="s">
        <v>209</v>
      </c>
      <c r="E91" s="37">
        <v>0</v>
      </c>
      <c r="F91" s="37">
        <v>0</v>
      </c>
      <c r="G91" s="37">
        <f t="shared" si="2"/>
        <v>0</v>
      </c>
      <c r="H91" s="44" t="s">
        <v>210</v>
      </c>
      <c r="I91" s="45">
        <v>400000</v>
      </c>
      <c r="J91" s="37">
        <v>40000</v>
      </c>
      <c r="K91" s="41">
        <v>40544</v>
      </c>
      <c r="L91" s="46" t="s">
        <v>67</v>
      </c>
      <c r="M91" s="46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36" t="s">
        <v>204</v>
      </c>
      <c r="D92" s="36" t="s">
        <v>211</v>
      </c>
      <c r="E92" s="37">
        <v>0</v>
      </c>
      <c r="F92" s="37">
        <v>0</v>
      </c>
      <c r="G92" s="37">
        <f t="shared" si="2"/>
        <v>0</v>
      </c>
      <c r="H92" s="44" t="s">
        <v>212</v>
      </c>
      <c r="I92" s="45">
        <v>200000</v>
      </c>
      <c r="J92" s="37">
        <v>20000</v>
      </c>
      <c r="K92" s="41">
        <v>40544</v>
      </c>
      <c r="L92" s="46" t="s">
        <v>67</v>
      </c>
      <c r="M92" s="46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36" t="s">
        <v>204</v>
      </c>
      <c r="D93" s="36" t="s">
        <v>213</v>
      </c>
      <c r="E93" s="37">
        <v>0</v>
      </c>
      <c r="F93" s="37">
        <v>0</v>
      </c>
      <c r="G93" s="37">
        <f t="shared" si="2"/>
        <v>0</v>
      </c>
      <c r="H93" s="44" t="s">
        <v>214</v>
      </c>
      <c r="I93" s="45">
        <v>200000</v>
      </c>
      <c r="J93" s="37">
        <v>20000</v>
      </c>
      <c r="K93" s="41">
        <v>40544</v>
      </c>
      <c r="L93" s="46" t="s">
        <v>67</v>
      </c>
      <c r="M93" s="46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252</v>
      </c>
      <c r="D94" s="36" t="s">
        <v>253</v>
      </c>
      <c r="E94" s="37">
        <v>36000</v>
      </c>
      <c r="F94" s="37">
        <v>0</v>
      </c>
      <c r="G94" s="37">
        <f t="shared" si="2"/>
        <v>36000</v>
      </c>
      <c r="H94" s="44" t="s">
        <v>254</v>
      </c>
      <c r="I94" s="45">
        <v>180000</v>
      </c>
      <c r="J94" s="37">
        <v>0</v>
      </c>
      <c r="K94" s="41">
        <v>40909</v>
      </c>
      <c r="L94" s="46" t="s">
        <v>67</v>
      </c>
      <c r="M94" s="46" t="s">
        <v>26</v>
      </c>
      <c r="N94" s="42" t="s">
        <v>27</v>
      </c>
    </row>
    <row r="95" spans="1:14" s="4" customFormat="1" ht="49.5" customHeight="1">
      <c r="A95" s="77">
        <f t="shared" si="3"/>
        <v>93</v>
      </c>
      <c r="B95" s="36" t="s">
        <v>181</v>
      </c>
      <c r="C95" s="36" t="s">
        <v>286</v>
      </c>
      <c r="D95" s="36" t="s">
        <v>287</v>
      </c>
      <c r="E95" s="37">
        <v>14070</v>
      </c>
      <c r="F95" s="37">
        <v>0</v>
      </c>
      <c r="G95" s="37">
        <f t="shared" si="2"/>
        <v>14070</v>
      </c>
      <c r="H95" s="44" t="s">
        <v>288</v>
      </c>
      <c r="I95" s="45">
        <v>70350</v>
      </c>
      <c r="J95" s="37">
        <v>0</v>
      </c>
      <c r="K95" s="41">
        <v>41085</v>
      </c>
      <c r="L95" s="46">
        <v>41639</v>
      </c>
      <c r="M95" s="46" t="s">
        <v>26</v>
      </c>
      <c r="N95" s="42" t="s">
        <v>27</v>
      </c>
    </row>
    <row r="96" spans="1:14" s="4" customFormat="1" ht="49.5" customHeight="1" thickBot="1">
      <c r="A96" s="48">
        <f t="shared" si="3"/>
        <v>94</v>
      </c>
      <c r="B96" s="49" t="s">
        <v>181</v>
      </c>
      <c r="C96" s="49" t="s">
        <v>286</v>
      </c>
      <c r="D96" s="49" t="s">
        <v>289</v>
      </c>
      <c r="E96" s="50">
        <v>25905</v>
      </c>
      <c r="F96" s="50">
        <v>0</v>
      </c>
      <c r="G96" s="50">
        <f t="shared" si="2"/>
        <v>25905</v>
      </c>
      <c r="H96" s="51" t="s">
        <v>290</v>
      </c>
      <c r="I96" s="52">
        <v>129525</v>
      </c>
      <c r="J96" s="50">
        <v>0</v>
      </c>
      <c r="K96" s="54">
        <v>41085</v>
      </c>
      <c r="L96" s="55">
        <v>41639</v>
      </c>
      <c r="M96" s="78" t="s">
        <v>26</v>
      </c>
      <c r="N96" s="56" t="s">
        <v>27</v>
      </c>
    </row>
    <row r="97" spans="1:14" s="4" customFormat="1" ht="49.5" customHeight="1" thickBot="1" thickTop="1">
      <c r="A97" s="9"/>
      <c r="B97" s="10"/>
      <c r="C97" s="10"/>
      <c r="D97" s="71" t="s">
        <v>215</v>
      </c>
      <c r="E97" s="72">
        <f>SUM(E3:E96)</f>
        <v>8456077.969999999</v>
      </c>
      <c r="F97" s="72">
        <f>SUM(F3:F96)</f>
        <v>0</v>
      </c>
      <c r="G97" s="73">
        <f>SUM(G3:G96)</f>
        <v>8456077.969999999</v>
      </c>
      <c r="H97" s="10"/>
      <c r="I97" s="10"/>
      <c r="J97" s="10"/>
      <c r="K97" s="10"/>
      <c r="L97" s="11"/>
      <c r="M97" s="10"/>
      <c r="N97" s="12"/>
    </row>
    <row r="98" ht="13.5" thickTop="1"/>
    <row r="99" spans="1:14" s="15" customFormat="1" ht="12.75">
      <c r="A99" s="13"/>
      <c r="B99" s="14"/>
      <c r="C99" s="14"/>
      <c r="D99" s="25" t="s">
        <v>291</v>
      </c>
      <c r="E99" s="25"/>
      <c r="F99" s="25"/>
      <c r="G99" s="25"/>
      <c r="K99" s="14"/>
      <c r="L99" s="16"/>
      <c r="M99" s="14"/>
      <c r="N99" s="17"/>
    </row>
    <row r="100" spans="2:13" s="15" customFormat="1" ht="12.75">
      <c r="B100" s="22"/>
      <c r="C100" s="22"/>
      <c r="E100" s="22"/>
      <c r="F100" s="22"/>
      <c r="G100" s="22"/>
      <c r="K100" s="22"/>
      <c r="L100" s="22"/>
      <c r="M100" s="22"/>
    </row>
    <row r="101" spans="1:14" s="15" customFormat="1" ht="12.75">
      <c r="A101" s="20"/>
      <c r="B101" s="24" t="s">
        <v>221</v>
      </c>
      <c r="C101" s="24"/>
      <c r="E101" s="23" t="s">
        <v>222</v>
      </c>
      <c r="F101" s="23"/>
      <c r="G101" s="23"/>
      <c r="K101" s="23" t="s">
        <v>223</v>
      </c>
      <c r="L101" s="23"/>
      <c r="M101" s="23"/>
      <c r="N101" s="19"/>
    </row>
    <row r="102" spans="1:14" s="15" customFormat="1" ht="12.75">
      <c r="A102" s="21"/>
      <c r="B102" s="18" t="s">
        <v>224</v>
      </c>
      <c r="C102" s="18"/>
      <c r="E102" s="18" t="s">
        <v>225</v>
      </c>
      <c r="F102" s="18"/>
      <c r="G102" s="18"/>
      <c r="K102" s="18" t="s">
        <v>226</v>
      </c>
      <c r="L102" s="18"/>
      <c r="M102" s="18"/>
      <c r="N102" s="19"/>
    </row>
  </sheetData>
  <sheetProtection selectLockedCells="1" selectUnlockedCells="1"/>
  <mergeCells count="11">
    <mergeCell ref="B102:C102"/>
    <mergeCell ref="E102:G102"/>
    <mergeCell ref="K102:M102"/>
    <mergeCell ref="A1:N1"/>
    <mergeCell ref="D99:G99"/>
    <mergeCell ref="B100:C100"/>
    <mergeCell ref="E100:G100"/>
    <mergeCell ref="K100:M100"/>
    <mergeCell ref="B101:C101"/>
    <mergeCell ref="E101:G101"/>
    <mergeCell ref="K101:M101"/>
  </mergeCells>
  <printOptions horizontalCentered="1"/>
  <pageMargins left="0" right="0" top="0.5905511811023623" bottom="0.3937007874015748" header="0.1968503937007874" footer="0.1968503937007874"/>
  <pageSetup firstPageNumber="1" useFirstPageNumber="1" fitToHeight="7" horizontalDpi="300" verticalDpi="300" orientation="landscape" paperSize="9" scale="62" r:id="rId1"/>
  <headerFooter alignWithMargins="0">
    <oddFooter>&amp;CPágina &amp;P de &amp;N</oddFooter>
  </headerFooter>
  <rowBreaks count="3" manualBreakCount="3">
    <brk id="16" max="13" man="1"/>
    <brk id="31" max="13" man="1"/>
    <brk id="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PageLayoutView="0" workbookViewId="0" topLeftCell="A97">
      <selection activeCell="F102" sqref="F10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292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f>1</f>
        <v>1</v>
      </c>
      <c r="B3" s="27" t="s">
        <v>9</v>
      </c>
      <c r="C3" s="27" t="s">
        <v>10</v>
      </c>
      <c r="D3" s="27" t="s">
        <v>11</v>
      </c>
      <c r="E3" s="28">
        <v>8415</v>
      </c>
      <c r="F3" s="28">
        <v>0</v>
      </c>
      <c r="G3" s="28">
        <f aca="true" t="shared" si="0" ref="G3:G66">E3+F3</f>
        <v>8415</v>
      </c>
      <c r="H3" s="29" t="s">
        <v>12</v>
      </c>
      <c r="I3" s="30">
        <f>12*8415</f>
        <v>100980</v>
      </c>
      <c r="J3" s="28">
        <f>25245+16830+8415+33660+8415</f>
        <v>92565</v>
      </c>
      <c r="K3" s="32">
        <v>40545</v>
      </c>
      <c r="L3" s="32">
        <v>40908</v>
      </c>
      <c r="M3" s="33" t="s">
        <v>293</v>
      </c>
      <c r="N3" s="34" t="s">
        <v>14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15</v>
      </c>
      <c r="D4" s="36" t="s">
        <v>11</v>
      </c>
      <c r="E4" s="37">
        <v>7150</v>
      </c>
      <c r="F4" s="37">
        <v>0</v>
      </c>
      <c r="G4" s="37">
        <f t="shared" si="0"/>
        <v>7150</v>
      </c>
      <c r="H4" s="38" t="s">
        <v>16</v>
      </c>
      <c r="I4" s="39">
        <f>7150*12</f>
        <v>85800</v>
      </c>
      <c r="J4" s="37">
        <f>21450+14300+7150+28600+7150</f>
        <v>78650</v>
      </c>
      <c r="K4" s="41">
        <v>40545</v>
      </c>
      <c r="L4" s="41">
        <v>40908</v>
      </c>
      <c r="M4" s="38" t="s">
        <v>293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10</v>
      </c>
      <c r="D5" s="36" t="s">
        <v>11</v>
      </c>
      <c r="E5" s="37">
        <f>33660+16830</f>
        <v>50490</v>
      </c>
      <c r="F5" s="37">
        <v>0</v>
      </c>
      <c r="G5" s="37">
        <f t="shared" si="0"/>
        <v>50490</v>
      </c>
      <c r="H5" s="44" t="s">
        <v>12</v>
      </c>
      <c r="I5" s="45">
        <f>12*8415</f>
        <v>100980</v>
      </c>
      <c r="J5" s="37">
        <v>0</v>
      </c>
      <c r="K5" s="41">
        <v>40910</v>
      </c>
      <c r="L5" s="41">
        <v>41274</v>
      </c>
      <c r="M5" s="38" t="s">
        <v>285</v>
      </c>
      <c r="N5" s="42" t="s">
        <v>294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15</v>
      </c>
      <c r="D6" s="36" t="s">
        <v>11</v>
      </c>
      <c r="E6" s="37">
        <f>28600+14300</f>
        <v>42900</v>
      </c>
      <c r="F6" s="37">
        <v>0</v>
      </c>
      <c r="G6" s="37">
        <f t="shared" si="0"/>
        <v>42900</v>
      </c>
      <c r="H6" s="38" t="s">
        <v>16</v>
      </c>
      <c r="I6" s="39">
        <f>7150*12</f>
        <v>85800</v>
      </c>
      <c r="J6" s="37">
        <v>0</v>
      </c>
      <c r="K6" s="41">
        <v>40910</v>
      </c>
      <c r="L6" s="41">
        <v>41274</v>
      </c>
      <c r="M6" s="38" t="s">
        <v>285</v>
      </c>
      <c r="N6" s="42" t="s">
        <v>294</v>
      </c>
    </row>
    <row r="7" spans="1:14" s="4" customFormat="1" ht="49.5" customHeight="1">
      <c r="A7" s="35">
        <f t="shared" si="1"/>
        <v>5</v>
      </c>
      <c r="B7" s="36" t="s">
        <v>295</v>
      </c>
      <c r="C7" s="36" t="s">
        <v>296</v>
      </c>
      <c r="D7" s="36" t="s">
        <v>297</v>
      </c>
      <c r="E7" s="37">
        <v>20000</v>
      </c>
      <c r="F7" s="37">
        <v>0</v>
      </c>
      <c r="G7" s="37">
        <f t="shared" si="0"/>
        <v>20000</v>
      </c>
      <c r="H7" s="38" t="s">
        <v>298</v>
      </c>
      <c r="I7" s="39">
        <v>20000</v>
      </c>
      <c r="J7" s="37">
        <v>0</v>
      </c>
      <c r="K7" s="41">
        <v>41086</v>
      </c>
      <c r="L7" s="41">
        <v>41274</v>
      </c>
      <c r="M7" s="38" t="s">
        <v>285</v>
      </c>
      <c r="N7" s="42" t="s">
        <v>68</v>
      </c>
    </row>
    <row r="8" spans="1:14" s="4" customFormat="1" ht="49.5" customHeight="1">
      <c r="A8" s="35">
        <f t="shared" si="1"/>
        <v>6</v>
      </c>
      <c r="B8" s="36" t="s">
        <v>17</v>
      </c>
      <c r="C8" s="36" t="s">
        <v>18</v>
      </c>
      <c r="D8" s="36" t="s">
        <v>19</v>
      </c>
      <c r="E8" s="37">
        <v>0</v>
      </c>
      <c r="F8" s="37">
        <v>0</v>
      </c>
      <c r="G8" s="37">
        <f t="shared" si="0"/>
        <v>0</v>
      </c>
      <c r="H8" s="38" t="s">
        <v>20</v>
      </c>
      <c r="I8" s="39">
        <v>2556407.93</v>
      </c>
      <c r="J8" s="39">
        <v>383461.19</v>
      </c>
      <c r="K8" s="41">
        <v>40142</v>
      </c>
      <c r="L8" s="41">
        <v>40872</v>
      </c>
      <c r="M8" s="38" t="s">
        <v>21</v>
      </c>
      <c r="N8" s="42" t="s">
        <v>22</v>
      </c>
    </row>
    <row r="9" spans="1:14" s="4" customFormat="1" ht="49.5" customHeight="1">
      <c r="A9" s="35">
        <f t="shared" si="1"/>
        <v>7</v>
      </c>
      <c r="B9" s="36" t="s">
        <v>17</v>
      </c>
      <c r="C9" s="36" t="s">
        <v>23</v>
      </c>
      <c r="D9" s="36" t="s">
        <v>24</v>
      </c>
      <c r="E9" s="37">
        <f>279227.1+279227.1+279227.1+279227.1+279227.1</f>
        <v>1396135.5</v>
      </c>
      <c r="F9" s="37">
        <v>0</v>
      </c>
      <c r="G9" s="37">
        <f t="shared" si="0"/>
        <v>1396135.5</v>
      </c>
      <c r="H9" s="38" t="s">
        <v>25</v>
      </c>
      <c r="I9" s="39">
        <v>2792271</v>
      </c>
      <c r="J9" s="37">
        <f>279227.1+279227.1+279227.1+279227.1+279227.1</f>
        <v>1396135.5</v>
      </c>
      <c r="K9" s="41">
        <v>39995</v>
      </c>
      <c r="L9" s="41">
        <v>41820</v>
      </c>
      <c r="M9" s="38" t="s">
        <v>26</v>
      </c>
      <c r="N9" s="42" t="s">
        <v>27</v>
      </c>
    </row>
    <row r="10" spans="1:14" s="4" customFormat="1" ht="49.5" customHeight="1">
      <c r="A10" s="35">
        <f t="shared" si="1"/>
        <v>8</v>
      </c>
      <c r="B10" s="36" t="s">
        <v>257</v>
      </c>
      <c r="C10" s="36" t="s">
        <v>258</v>
      </c>
      <c r="D10" s="36" t="s">
        <v>259</v>
      </c>
      <c r="E10" s="37">
        <f>196589+196589</f>
        <v>393178</v>
      </c>
      <c r="F10" s="37">
        <v>0</v>
      </c>
      <c r="G10" s="37">
        <f t="shared" si="0"/>
        <v>393178</v>
      </c>
      <c r="H10" s="38" t="s">
        <v>260</v>
      </c>
      <c r="I10" s="39">
        <f>4*196589</f>
        <v>786356</v>
      </c>
      <c r="J10" s="39">
        <v>0</v>
      </c>
      <c r="K10" s="41">
        <v>40957</v>
      </c>
      <c r="L10" s="41">
        <v>41688</v>
      </c>
      <c r="M10" s="38" t="s">
        <v>26</v>
      </c>
      <c r="N10" s="42" t="s">
        <v>68</v>
      </c>
    </row>
    <row r="11" spans="1:14" s="4" customFormat="1" ht="49.5" customHeight="1">
      <c r="A11" s="35">
        <f t="shared" si="1"/>
        <v>9</v>
      </c>
      <c r="B11" s="36" t="s">
        <v>28</v>
      </c>
      <c r="C11" s="36" t="s">
        <v>29</v>
      </c>
      <c r="D11" s="36" t="s">
        <v>30</v>
      </c>
      <c r="E11" s="37">
        <v>0</v>
      </c>
      <c r="F11" s="37">
        <v>0</v>
      </c>
      <c r="G11" s="37">
        <f t="shared" si="0"/>
        <v>0</v>
      </c>
      <c r="H11" s="38" t="s">
        <v>31</v>
      </c>
      <c r="I11" s="39">
        <v>273666.94</v>
      </c>
      <c r="J11" s="39">
        <v>273666.94</v>
      </c>
      <c r="K11" s="41">
        <v>40178</v>
      </c>
      <c r="L11" s="41">
        <v>40542</v>
      </c>
      <c r="M11" s="38" t="s">
        <v>32</v>
      </c>
      <c r="N11" s="42" t="s">
        <v>27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33</v>
      </c>
      <c r="E12" s="37">
        <v>0</v>
      </c>
      <c r="F12" s="37">
        <v>0</v>
      </c>
      <c r="G12" s="37">
        <f t="shared" si="0"/>
        <v>0</v>
      </c>
      <c r="H12" s="38" t="s">
        <v>34</v>
      </c>
      <c r="I12" s="39">
        <v>1636649.08</v>
      </c>
      <c r="J12" s="39">
        <v>514958.82</v>
      </c>
      <c r="K12" s="41">
        <v>40176</v>
      </c>
      <c r="L12" s="41">
        <v>40722</v>
      </c>
      <c r="M12" s="38" t="s">
        <v>35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75" t="s">
        <v>29</v>
      </c>
      <c r="D13" s="36" t="s">
        <v>36</v>
      </c>
      <c r="E13" s="37">
        <v>0</v>
      </c>
      <c r="F13" s="37">
        <v>0</v>
      </c>
      <c r="G13" s="37">
        <f t="shared" si="0"/>
        <v>0</v>
      </c>
      <c r="H13" s="44" t="s">
        <v>37</v>
      </c>
      <c r="I13" s="45">
        <v>1492263.04</v>
      </c>
      <c r="J13" s="45">
        <v>517381.16</v>
      </c>
      <c r="K13" s="41">
        <v>40176</v>
      </c>
      <c r="L13" s="41">
        <v>40905</v>
      </c>
      <c r="M13" s="38" t="s">
        <v>38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39</v>
      </c>
      <c r="E14" s="37">
        <v>147662.4</v>
      </c>
      <c r="F14" s="37">
        <v>0</v>
      </c>
      <c r="G14" s="37">
        <f t="shared" si="0"/>
        <v>147662.4</v>
      </c>
      <c r="H14" s="38" t="s">
        <v>40</v>
      </c>
      <c r="I14" s="39">
        <v>322420.94</v>
      </c>
      <c r="J14" s="39">
        <v>174758.54</v>
      </c>
      <c r="K14" s="41">
        <v>40176</v>
      </c>
      <c r="L14" s="46">
        <v>40540</v>
      </c>
      <c r="M14" s="38" t="s">
        <v>32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41</v>
      </c>
      <c r="E15" s="37">
        <v>0</v>
      </c>
      <c r="F15" s="37">
        <v>0</v>
      </c>
      <c r="G15" s="37">
        <f t="shared" si="0"/>
        <v>0</v>
      </c>
      <c r="H15" s="38" t="s">
        <v>42</v>
      </c>
      <c r="I15" s="39">
        <v>851408.61</v>
      </c>
      <c r="J15" s="39">
        <f>588308.41+263100.2</f>
        <v>851408.6100000001</v>
      </c>
      <c r="K15" s="41">
        <v>38890</v>
      </c>
      <c r="L15" s="41">
        <v>40056</v>
      </c>
      <c r="M15" s="38" t="s">
        <v>26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43</v>
      </c>
      <c r="E16" s="37">
        <v>140800</v>
      </c>
      <c r="F16" s="37">
        <v>0</v>
      </c>
      <c r="G16" s="37">
        <f t="shared" si="0"/>
        <v>140800</v>
      </c>
      <c r="H16" s="38" t="s">
        <v>44</v>
      </c>
      <c r="I16" s="39">
        <v>352000</v>
      </c>
      <c r="J16" s="39">
        <v>211200</v>
      </c>
      <c r="K16" s="41">
        <v>39633</v>
      </c>
      <c r="L16" s="79">
        <v>39993</v>
      </c>
      <c r="M16" s="38" t="s">
        <v>35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45</v>
      </c>
      <c r="E17" s="37">
        <v>0</v>
      </c>
      <c r="F17" s="37">
        <v>0</v>
      </c>
      <c r="G17" s="37">
        <f t="shared" si="0"/>
        <v>0</v>
      </c>
      <c r="H17" s="38" t="s">
        <v>46</v>
      </c>
      <c r="I17" s="39">
        <v>516646.91</v>
      </c>
      <c r="J17" s="39">
        <v>437114.41</v>
      </c>
      <c r="K17" s="41">
        <v>40536</v>
      </c>
      <c r="L17" s="41">
        <v>40900</v>
      </c>
      <c r="M17" s="38" t="s">
        <v>26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47</v>
      </c>
      <c r="E18" s="37">
        <v>0</v>
      </c>
      <c r="F18" s="37">
        <v>0</v>
      </c>
      <c r="G18" s="37">
        <f t="shared" si="0"/>
        <v>0</v>
      </c>
      <c r="H18" s="38" t="s">
        <v>48</v>
      </c>
      <c r="I18" s="39">
        <v>100000</v>
      </c>
      <c r="J18" s="39">
        <v>100000</v>
      </c>
      <c r="K18" s="41">
        <v>40177</v>
      </c>
      <c r="L18" s="41">
        <v>40541</v>
      </c>
      <c r="M18" s="38" t="s">
        <v>32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49</v>
      </c>
      <c r="E19" s="37">
        <v>0</v>
      </c>
      <c r="F19" s="37">
        <v>0</v>
      </c>
      <c r="G19" s="37">
        <f t="shared" si="0"/>
        <v>0</v>
      </c>
      <c r="H19" s="38" t="s">
        <v>50</v>
      </c>
      <c r="I19" s="39">
        <v>202569.34</v>
      </c>
      <c r="J19" s="39">
        <v>202569.343</v>
      </c>
      <c r="K19" s="41">
        <v>40542</v>
      </c>
      <c r="L19" s="41">
        <v>40907</v>
      </c>
      <c r="M19" s="38" t="s">
        <v>26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51</v>
      </c>
      <c r="E20" s="37">
        <v>182038.38</v>
      </c>
      <c r="F20" s="37">
        <v>0</v>
      </c>
      <c r="G20" s="37">
        <f t="shared" si="0"/>
        <v>182038.38</v>
      </c>
      <c r="H20" s="38" t="s">
        <v>52</v>
      </c>
      <c r="I20" s="39">
        <v>3640767.5</v>
      </c>
      <c r="J20" s="39">
        <v>0</v>
      </c>
      <c r="K20" s="41">
        <v>40542</v>
      </c>
      <c r="L20" s="41">
        <v>42001</v>
      </c>
      <c r="M20" s="38" t="s">
        <v>35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53</v>
      </c>
      <c r="C21" s="36" t="s">
        <v>29</v>
      </c>
      <c r="D21" s="36" t="s">
        <v>54</v>
      </c>
      <c r="E21" s="37">
        <v>771437.88</v>
      </c>
      <c r="F21" s="37">
        <v>0</v>
      </c>
      <c r="G21" s="37">
        <f t="shared" si="0"/>
        <v>771437.88</v>
      </c>
      <c r="H21" s="38" t="s">
        <v>55</v>
      </c>
      <c r="I21" s="39">
        <v>771437.88</v>
      </c>
      <c r="J21" s="39">
        <v>0</v>
      </c>
      <c r="K21" s="41">
        <v>40886</v>
      </c>
      <c r="L21" s="41">
        <v>41617</v>
      </c>
      <c r="M21" s="38" t="s">
        <v>35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53</v>
      </c>
      <c r="C22" s="36" t="s">
        <v>29</v>
      </c>
      <c r="D22" s="36" t="s">
        <v>56</v>
      </c>
      <c r="E22" s="37">
        <v>90000</v>
      </c>
      <c r="F22" s="37">
        <v>0</v>
      </c>
      <c r="G22" s="37">
        <f t="shared" si="0"/>
        <v>90000</v>
      </c>
      <c r="H22" s="38" t="s">
        <v>57</v>
      </c>
      <c r="I22" s="39">
        <v>3944386.94</v>
      </c>
      <c r="J22" s="39">
        <v>0</v>
      </c>
      <c r="K22" s="41">
        <v>40904</v>
      </c>
      <c r="L22" s="41">
        <v>42000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28</v>
      </c>
      <c r="C23" s="75" t="s">
        <v>58</v>
      </c>
      <c r="D23" s="36" t="s">
        <v>59</v>
      </c>
      <c r="E23" s="37">
        <v>0</v>
      </c>
      <c r="F23" s="37">
        <v>0</v>
      </c>
      <c r="G23" s="37">
        <f t="shared" si="0"/>
        <v>0</v>
      </c>
      <c r="H23" s="38" t="s">
        <v>60</v>
      </c>
      <c r="I23" s="39">
        <v>250000</v>
      </c>
      <c r="J23" s="39">
        <v>250000</v>
      </c>
      <c r="K23" s="41">
        <v>40155</v>
      </c>
      <c r="L23" s="46">
        <v>40519</v>
      </c>
      <c r="M23" s="38" t="s">
        <v>26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28</v>
      </c>
      <c r="C24" s="75" t="s">
        <v>58</v>
      </c>
      <c r="D24" s="75" t="s">
        <v>61</v>
      </c>
      <c r="E24" s="37">
        <v>0</v>
      </c>
      <c r="F24" s="37">
        <v>0</v>
      </c>
      <c r="G24" s="37">
        <f t="shared" si="0"/>
        <v>0</v>
      </c>
      <c r="H24" s="44" t="s">
        <v>62</v>
      </c>
      <c r="I24" s="45">
        <v>700000</v>
      </c>
      <c r="J24" s="45">
        <v>486857</v>
      </c>
      <c r="K24" s="41">
        <v>40532</v>
      </c>
      <c r="L24" s="41">
        <v>40711</v>
      </c>
      <c r="M24" s="38" t="s">
        <v>26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28</v>
      </c>
      <c r="C25" s="75" t="s">
        <v>58</v>
      </c>
      <c r="D25" s="75" t="s">
        <v>261</v>
      </c>
      <c r="E25" s="37">
        <v>200000</v>
      </c>
      <c r="F25" s="37">
        <v>0</v>
      </c>
      <c r="G25" s="37">
        <f t="shared" si="0"/>
        <v>200000</v>
      </c>
      <c r="H25" s="44" t="s">
        <v>262</v>
      </c>
      <c r="I25" s="45">
        <v>200000</v>
      </c>
      <c r="J25" s="45">
        <v>0</v>
      </c>
      <c r="K25" s="41">
        <v>41018</v>
      </c>
      <c r="L25" s="41">
        <v>41378</v>
      </c>
      <c r="M25" s="38" t="s">
        <v>26</v>
      </c>
      <c r="N25" s="42" t="s">
        <v>27</v>
      </c>
    </row>
    <row r="26" spans="1:14" s="4" customFormat="1" ht="49.5" customHeight="1">
      <c r="A26" s="35">
        <f t="shared" si="1"/>
        <v>24</v>
      </c>
      <c r="B26" s="36" t="s">
        <v>274</v>
      </c>
      <c r="C26" s="75" t="s">
        <v>275</v>
      </c>
      <c r="D26" s="75" t="s">
        <v>276</v>
      </c>
      <c r="E26" s="37">
        <v>330000</v>
      </c>
      <c r="F26" s="37">
        <v>0</v>
      </c>
      <c r="G26" s="37">
        <f t="shared" si="0"/>
        <v>330000</v>
      </c>
      <c r="H26" s="44" t="s">
        <v>277</v>
      </c>
      <c r="I26" s="45">
        <v>330000</v>
      </c>
      <c r="J26" s="45">
        <v>0</v>
      </c>
      <c r="K26" s="41">
        <v>41019</v>
      </c>
      <c r="L26" s="41">
        <v>41229</v>
      </c>
      <c r="M26" s="38" t="s">
        <v>26</v>
      </c>
      <c r="N26" s="42" t="s">
        <v>68</v>
      </c>
    </row>
    <row r="27" spans="1:14" s="4" customFormat="1" ht="49.5" customHeight="1">
      <c r="A27" s="35">
        <f t="shared" si="1"/>
        <v>25</v>
      </c>
      <c r="B27" s="36" t="s">
        <v>63</v>
      </c>
      <c r="C27" s="36" t="s">
        <v>64</v>
      </c>
      <c r="D27" s="36" t="s">
        <v>65</v>
      </c>
      <c r="E27" s="37">
        <f>47533.89+15844.63+15844.63</f>
        <v>79223.15</v>
      </c>
      <c r="F27" s="37">
        <v>0</v>
      </c>
      <c r="G27" s="37">
        <f t="shared" si="0"/>
        <v>79223.15</v>
      </c>
      <c r="H27" s="38" t="s">
        <v>264</v>
      </c>
      <c r="I27" s="39">
        <v>47533.89</v>
      </c>
      <c r="J27" s="39">
        <v>47533.89</v>
      </c>
      <c r="K27" s="41">
        <v>39814</v>
      </c>
      <c r="L27" s="41" t="s">
        <v>67</v>
      </c>
      <c r="M27" s="38" t="s">
        <v>26</v>
      </c>
      <c r="N27" s="42" t="s">
        <v>68</v>
      </c>
    </row>
    <row r="28" spans="1:14" s="4" customFormat="1" ht="49.5" customHeight="1">
      <c r="A28" s="35">
        <f t="shared" si="1"/>
        <v>26</v>
      </c>
      <c r="B28" s="36" t="s">
        <v>63</v>
      </c>
      <c r="C28" s="36" t="s">
        <v>64</v>
      </c>
      <c r="D28" s="36" t="s">
        <v>69</v>
      </c>
      <c r="E28" s="37">
        <v>0</v>
      </c>
      <c r="F28" s="37">
        <v>0</v>
      </c>
      <c r="G28" s="37">
        <f t="shared" si="0"/>
        <v>0</v>
      </c>
      <c r="H28" s="38" t="s">
        <v>264</v>
      </c>
      <c r="I28" s="39">
        <f>2880+6720</f>
        <v>9600</v>
      </c>
      <c r="J28" s="39">
        <f>7600+2000</f>
        <v>9600</v>
      </c>
      <c r="K28" s="41">
        <v>40303</v>
      </c>
      <c r="L28" s="41" t="s">
        <v>67</v>
      </c>
      <c r="M28" s="38" t="s">
        <v>26</v>
      </c>
      <c r="N28" s="42" t="s">
        <v>68</v>
      </c>
    </row>
    <row r="29" spans="1:14" s="4" customFormat="1" ht="49.5" customHeight="1">
      <c r="A29" s="35">
        <f t="shared" si="1"/>
        <v>27</v>
      </c>
      <c r="B29" s="36" t="s">
        <v>63</v>
      </c>
      <c r="C29" s="36" t="s">
        <v>64</v>
      </c>
      <c r="D29" s="36" t="s">
        <v>263</v>
      </c>
      <c r="E29" s="37">
        <f>1281.93+4497.1</f>
        <v>5779.030000000001</v>
      </c>
      <c r="F29" s="37">
        <v>0</v>
      </c>
      <c r="G29" s="37">
        <f t="shared" si="0"/>
        <v>5779.030000000001</v>
      </c>
      <c r="H29" s="38" t="s">
        <v>264</v>
      </c>
      <c r="I29" s="39">
        <v>5779.03</v>
      </c>
      <c r="J29" s="39">
        <v>0</v>
      </c>
      <c r="K29" s="41">
        <v>39600</v>
      </c>
      <c r="L29" s="41">
        <v>41274</v>
      </c>
      <c r="M29" s="38" t="s">
        <v>26</v>
      </c>
      <c r="N29" s="42" t="s">
        <v>68</v>
      </c>
    </row>
    <row r="30" spans="1:14" s="4" customFormat="1" ht="49.5" customHeight="1">
      <c r="A30" s="35">
        <f t="shared" si="1"/>
        <v>28</v>
      </c>
      <c r="B30" s="36" t="s">
        <v>63</v>
      </c>
      <c r="C30" s="36" t="s">
        <v>70</v>
      </c>
      <c r="D30" s="36" t="s">
        <v>71</v>
      </c>
      <c r="E30" s="37">
        <v>0</v>
      </c>
      <c r="F30" s="37">
        <v>0</v>
      </c>
      <c r="G30" s="37">
        <f t="shared" si="0"/>
        <v>0</v>
      </c>
      <c r="H30" s="38" t="s">
        <v>72</v>
      </c>
      <c r="I30" s="39">
        <v>70000</v>
      </c>
      <c r="J30" s="39">
        <v>70000</v>
      </c>
      <c r="K30" s="41">
        <v>40540</v>
      </c>
      <c r="L30" s="41">
        <v>40724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63</v>
      </c>
      <c r="C31" s="36" t="s">
        <v>70</v>
      </c>
      <c r="D31" s="36" t="s">
        <v>73</v>
      </c>
      <c r="E31" s="37">
        <v>0</v>
      </c>
      <c r="F31" s="37">
        <v>0</v>
      </c>
      <c r="G31" s="37">
        <f t="shared" si="0"/>
        <v>0</v>
      </c>
      <c r="H31" s="38" t="s">
        <v>74</v>
      </c>
      <c r="I31" s="39">
        <v>60000</v>
      </c>
      <c r="J31" s="39">
        <v>60000</v>
      </c>
      <c r="K31" s="41">
        <v>40540</v>
      </c>
      <c r="L31" s="41">
        <v>40724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63</v>
      </c>
      <c r="C32" s="36" t="s">
        <v>75</v>
      </c>
      <c r="D32" s="36" t="s">
        <v>76</v>
      </c>
      <c r="E32" s="37">
        <v>0</v>
      </c>
      <c r="F32" s="37">
        <v>0</v>
      </c>
      <c r="G32" s="37">
        <f t="shared" si="0"/>
        <v>0</v>
      </c>
      <c r="H32" s="38" t="s">
        <v>77</v>
      </c>
      <c r="I32" s="39">
        <v>630000</v>
      </c>
      <c r="J32" s="39">
        <v>630000</v>
      </c>
      <c r="K32" s="41">
        <v>40599</v>
      </c>
      <c r="L32" s="41">
        <v>40908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63</v>
      </c>
      <c r="C33" s="36" t="s">
        <v>75</v>
      </c>
      <c r="D33" s="36" t="s">
        <v>78</v>
      </c>
      <c r="E33" s="37">
        <v>105000</v>
      </c>
      <c r="F33" s="37">
        <v>0</v>
      </c>
      <c r="G33" s="37">
        <f t="shared" si="0"/>
        <v>105000</v>
      </c>
      <c r="H33" s="38" t="s">
        <v>79</v>
      </c>
      <c r="I33" s="39">
        <v>630000</v>
      </c>
      <c r="J33" s="39">
        <v>525000</v>
      </c>
      <c r="K33" s="41">
        <v>40751</v>
      </c>
      <c r="L33" s="41">
        <v>40908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75</v>
      </c>
      <c r="D34" s="36" t="s">
        <v>265</v>
      </c>
      <c r="E34" s="37">
        <f>105000+105000+105000</f>
        <v>315000</v>
      </c>
      <c r="F34" s="37">
        <v>0</v>
      </c>
      <c r="G34" s="37">
        <f t="shared" si="0"/>
        <v>315000</v>
      </c>
      <c r="H34" s="38" t="s">
        <v>266</v>
      </c>
      <c r="I34" s="39">
        <v>315000</v>
      </c>
      <c r="J34" s="39">
        <v>0</v>
      </c>
      <c r="K34" s="41">
        <v>40977</v>
      </c>
      <c r="L34" s="41">
        <v>41271</v>
      </c>
      <c r="M34" s="38" t="s">
        <v>26</v>
      </c>
      <c r="N34" s="42" t="s">
        <v>68</v>
      </c>
    </row>
    <row r="35" spans="1:15" s="7" customFormat="1" ht="49.5" customHeight="1">
      <c r="A35" s="35">
        <f t="shared" si="1"/>
        <v>33</v>
      </c>
      <c r="B35" s="36" t="s">
        <v>63</v>
      </c>
      <c r="C35" s="36" t="s">
        <v>70</v>
      </c>
      <c r="D35" s="36" t="s">
        <v>299</v>
      </c>
      <c r="E35" s="37">
        <v>200000</v>
      </c>
      <c r="F35" s="37">
        <v>0</v>
      </c>
      <c r="G35" s="37">
        <f t="shared" si="0"/>
        <v>200000</v>
      </c>
      <c r="H35" s="38" t="s">
        <v>300</v>
      </c>
      <c r="I35" s="39">
        <v>200000</v>
      </c>
      <c r="J35" s="39">
        <v>0</v>
      </c>
      <c r="K35" s="41">
        <v>41086</v>
      </c>
      <c r="L35" s="41">
        <v>41271</v>
      </c>
      <c r="M35" s="38" t="s">
        <v>26</v>
      </c>
      <c r="N35" s="42" t="s">
        <v>68</v>
      </c>
      <c r="O35" s="4"/>
    </row>
    <row r="36" spans="1:15" s="7" customFormat="1" ht="49.5" customHeight="1">
      <c r="A36" s="35">
        <f t="shared" si="1"/>
        <v>34</v>
      </c>
      <c r="B36" s="36" t="s">
        <v>63</v>
      </c>
      <c r="C36" s="36" t="s">
        <v>301</v>
      </c>
      <c r="D36" s="36" t="s">
        <v>302</v>
      </c>
      <c r="E36" s="37">
        <v>360000</v>
      </c>
      <c r="F36" s="37">
        <v>0</v>
      </c>
      <c r="G36" s="37">
        <f t="shared" si="0"/>
        <v>360000</v>
      </c>
      <c r="H36" s="38" t="s">
        <v>303</v>
      </c>
      <c r="I36" s="39">
        <v>400000</v>
      </c>
      <c r="J36" s="39">
        <v>0</v>
      </c>
      <c r="K36" s="41">
        <v>41087</v>
      </c>
      <c r="L36" s="41">
        <v>41271</v>
      </c>
      <c r="M36" s="38" t="s">
        <v>26</v>
      </c>
      <c r="N36" s="42" t="s">
        <v>68</v>
      </c>
      <c r="O36" s="4"/>
    </row>
    <row r="37" spans="1:15" s="7" customFormat="1" ht="49.5" customHeight="1">
      <c r="A37" s="35">
        <f t="shared" si="1"/>
        <v>35</v>
      </c>
      <c r="B37" s="75" t="s">
        <v>80</v>
      </c>
      <c r="C37" s="36" t="s">
        <v>81</v>
      </c>
      <c r="D37" s="36" t="s">
        <v>82</v>
      </c>
      <c r="E37" s="37">
        <v>0</v>
      </c>
      <c r="F37" s="37">
        <v>0</v>
      </c>
      <c r="G37" s="37">
        <f t="shared" si="0"/>
        <v>0</v>
      </c>
      <c r="H37" s="38" t="s">
        <v>83</v>
      </c>
      <c r="I37" s="39">
        <v>126000</v>
      </c>
      <c r="J37" s="39">
        <f>66036+47363</f>
        <v>113399</v>
      </c>
      <c r="K37" s="41">
        <v>39071</v>
      </c>
      <c r="L37" s="79" t="s">
        <v>84</v>
      </c>
      <c r="M37" s="38" t="s">
        <v>26</v>
      </c>
      <c r="N37" s="42" t="s">
        <v>27</v>
      </c>
      <c r="O37" s="4"/>
    </row>
    <row r="38" spans="1:15" s="7" customFormat="1" ht="49.5" customHeight="1">
      <c r="A38" s="35">
        <f t="shared" si="1"/>
        <v>36</v>
      </c>
      <c r="B38" s="36" t="s">
        <v>85</v>
      </c>
      <c r="C38" s="75" t="s">
        <v>86</v>
      </c>
      <c r="D38" s="75" t="s">
        <v>87</v>
      </c>
      <c r="E38" s="37">
        <f>8732.91+45419.87+16466.7+27317.93+17214.98</f>
        <v>115152.39</v>
      </c>
      <c r="F38" s="37">
        <v>0</v>
      </c>
      <c r="G38" s="37">
        <f t="shared" si="0"/>
        <v>115152.39</v>
      </c>
      <c r="H38" s="44" t="s">
        <v>88</v>
      </c>
      <c r="I38" s="45">
        <v>85000</v>
      </c>
      <c r="J38" s="45">
        <v>0</v>
      </c>
      <c r="K38" s="41">
        <v>38611</v>
      </c>
      <c r="L38" s="41" t="s">
        <v>67</v>
      </c>
      <c r="M38" s="46" t="s">
        <v>26</v>
      </c>
      <c r="N38" s="42" t="s">
        <v>27</v>
      </c>
      <c r="O38" s="4"/>
    </row>
    <row r="39" spans="1:15" s="7" customFormat="1" ht="49.5" customHeight="1">
      <c r="A39" s="35">
        <f t="shared" si="1"/>
        <v>37</v>
      </c>
      <c r="B39" s="36" t="s">
        <v>89</v>
      </c>
      <c r="C39" s="36" t="s">
        <v>90</v>
      </c>
      <c r="D39" s="36" t="s">
        <v>91</v>
      </c>
      <c r="E39" s="39">
        <v>0</v>
      </c>
      <c r="F39" s="37">
        <v>0</v>
      </c>
      <c r="G39" s="37">
        <f t="shared" si="0"/>
        <v>0</v>
      </c>
      <c r="H39" s="44" t="s">
        <v>92</v>
      </c>
      <c r="I39" s="45">
        <v>292500</v>
      </c>
      <c r="J39" s="45">
        <v>292500</v>
      </c>
      <c r="K39" s="41">
        <v>40350</v>
      </c>
      <c r="L39" s="41">
        <v>40775</v>
      </c>
      <c r="M39" s="46" t="s">
        <v>26</v>
      </c>
      <c r="N39" s="42" t="s">
        <v>27</v>
      </c>
      <c r="O39" s="4"/>
    </row>
    <row r="40" spans="1:15" s="7" customFormat="1" ht="49.5" customHeight="1">
      <c r="A40" s="35">
        <f t="shared" si="1"/>
        <v>38</v>
      </c>
      <c r="B40" s="36" t="s">
        <v>93</v>
      </c>
      <c r="C40" s="36" t="s">
        <v>94</v>
      </c>
      <c r="D40" s="36" t="s">
        <v>95</v>
      </c>
      <c r="E40" s="37">
        <f>179904+359808+179904+205932</f>
        <v>925548</v>
      </c>
      <c r="F40" s="37">
        <v>0</v>
      </c>
      <c r="G40" s="37">
        <f t="shared" si="0"/>
        <v>925548</v>
      </c>
      <c r="H40" s="38" t="s">
        <v>96</v>
      </c>
      <c r="I40" s="39">
        <v>1803960</v>
      </c>
      <c r="J40" s="39">
        <v>0</v>
      </c>
      <c r="K40" s="41">
        <v>40544</v>
      </c>
      <c r="L40" s="41">
        <v>40908</v>
      </c>
      <c r="M40" s="46" t="s">
        <v>26</v>
      </c>
      <c r="N40" s="42" t="s">
        <v>68</v>
      </c>
      <c r="O40" s="4"/>
    </row>
    <row r="41" spans="1:15" s="7" customFormat="1" ht="49.5" customHeight="1">
      <c r="A41" s="35">
        <f t="shared" si="1"/>
        <v>39</v>
      </c>
      <c r="B41" s="36" t="s">
        <v>93</v>
      </c>
      <c r="C41" s="36" t="s">
        <v>97</v>
      </c>
      <c r="D41" s="36" t="s">
        <v>97</v>
      </c>
      <c r="E41" s="37">
        <f>49674.78+13.72+24823.67</f>
        <v>74512.17</v>
      </c>
      <c r="F41" s="37">
        <v>0</v>
      </c>
      <c r="G41" s="37">
        <f t="shared" si="0"/>
        <v>74512.17</v>
      </c>
      <c r="H41" s="38" t="s">
        <v>98</v>
      </c>
      <c r="I41" s="39">
        <v>232427</v>
      </c>
      <c r="J41" s="39">
        <v>0</v>
      </c>
      <c r="K41" s="41">
        <v>40544</v>
      </c>
      <c r="L41" s="41">
        <v>40908</v>
      </c>
      <c r="M41" s="46" t="s">
        <v>26</v>
      </c>
      <c r="N41" s="42" t="s">
        <v>68</v>
      </c>
      <c r="O41" s="4"/>
    </row>
    <row r="42" spans="1:15" s="7" customFormat="1" ht="49.5" customHeight="1">
      <c r="A42" s="35">
        <f t="shared" si="1"/>
        <v>40</v>
      </c>
      <c r="B42" s="36" t="s">
        <v>93</v>
      </c>
      <c r="C42" s="36" t="s">
        <v>99</v>
      </c>
      <c r="D42" s="36" t="s">
        <v>100</v>
      </c>
      <c r="E42" s="37">
        <f>605.5+563</f>
        <v>1168.5</v>
      </c>
      <c r="F42" s="37">
        <v>0</v>
      </c>
      <c r="G42" s="37">
        <f t="shared" si="0"/>
        <v>1168.5</v>
      </c>
      <c r="H42" s="38" t="s">
        <v>101</v>
      </c>
      <c r="I42" s="39">
        <v>12756.3</v>
      </c>
      <c r="J42" s="39">
        <v>12756.3</v>
      </c>
      <c r="K42" s="41">
        <v>40544</v>
      </c>
      <c r="L42" s="41">
        <v>40908</v>
      </c>
      <c r="M42" s="38" t="s">
        <v>26</v>
      </c>
      <c r="N42" s="42" t="s">
        <v>68</v>
      </c>
      <c r="O42" s="4"/>
    </row>
    <row r="43" spans="1:15" s="7" customFormat="1" ht="49.5" customHeight="1">
      <c r="A43" s="35">
        <f t="shared" si="1"/>
        <v>41</v>
      </c>
      <c r="B43" s="36" t="s">
        <v>93</v>
      </c>
      <c r="C43" s="36" t="s">
        <v>102</v>
      </c>
      <c r="D43" s="36" t="s">
        <v>103</v>
      </c>
      <c r="E43" s="37">
        <v>8077.13</v>
      </c>
      <c r="F43" s="37">
        <v>0</v>
      </c>
      <c r="G43" s="37">
        <f t="shared" si="0"/>
        <v>8077.13</v>
      </c>
      <c r="H43" s="38" t="s">
        <v>104</v>
      </c>
      <c r="I43" s="39">
        <v>10750</v>
      </c>
      <c r="J43" s="39">
        <v>0</v>
      </c>
      <c r="K43" s="41">
        <v>40070</v>
      </c>
      <c r="L43" s="41" t="s">
        <v>67</v>
      </c>
      <c r="M43" s="38" t="s">
        <v>26</v>
      </c>
      <c r="N43" s="42" t="s">
        <v>27</v>
      </c>
      <c r="O43" s="4"/>
    </row>
    <row r="44" spans="1:15" s="7" customFormat="1" ht="49.5" customHeight="1">
      <c r="A44" s="35">
        <f t="shared" si="1"/>
        <v>42</v>
      </c>
      <c r="B44" s="36" t="s">
        <v>93</v>
      </c>
      <c r="C44" s="36" t="s">
        <v>105</v>
      </c>
      <c r="D44" s="36" t="s">
        <v>106</v>
      </c>
      <c r="E44" s="47">
        <v>0</v>
      </c>
      <c r="F44" s="37">
        <v>0</v>
      </c>
      <c r="G44" s="37">
        <f t="shared" si="0"/>
        <v>0</v>
      </c>
      <c r="H44" s="38" t="s">
        <v>107</v>
      </c>
      <c r="I44" s="39">
        <v>1276275.58</v>
      </c>
      <c r="J44" s="39">
        <v>255255.12</v>
      </c>
      <c r="K44" s="41">
        <v>40725</v>
      </c>
      <c r="L44" s="41">
        <v>41274</v>
      </c>
      <c r="M44" s="38" t="s">
        <v>26</v>
      </c>
      <c r="N44" s="42" t="s">
        <v>27</v>
      </c>
      <c r="O44" s="4"/>
    </row>
    <row r="45" spans="1:15" s="7" customFormat="1" ht="49.5" customHeight="1">
      <c r="A45" s="35">
        <f t="shared" si="1"/>
        <v>43</v>
      </c>
      <c r="B45" s="36" t="s">
        <v>93</v>
      </c>
      <c r="C45" s="36" t="s">
        <v>105</v>
      </c>
      <c r="D45" s="36" t="s">
        <v>108</v>
      </c>
      <c r="E45" s="47">
        <v>0</v>
      </c>
      <c r="F45" s="37">
        <v>0</v>
      </c>
      <c r="G45" s="37">
        <f t="shared" si="0"/>
        <v>0</v>
      </c>
      <c r="H45" s="38" t="s">
        <v>109</v>
      </c>
      <c r="I45" s="39">
        <v>1316838.4</v>
      </c>
      <c r="J45" s="39">
        <v>263367.68</v>
      </c>
      <c r="K45" s="41">
        <v>40544</v>
      </c>
      <c r="L45" s="41">
        <v>41274</v>
      </c>
      <c r="M45" s="38" t="s">
        <v>26</v>
      </c>
      <c r="N45" s="42" t="s">
        <v>27</v>
      </c>
      <c r="O45" s="4"/>
    </row>
    <row r="46" spans="1:15" s="7" customFormat="1" ht="49.5" customHeight="1">
      <c r="A46" s="35">
        <f t="shared" si="1"/>
        <v>44</v>
      </c>
      <c r="B46" s="36" t="s">
        <v>93</v>
      </c>
      <c r="C46" s="36" t="s">
        <v>228</v>
      </c>
      <c r="D46" s="36" t="s">
        <v>229</v>
      </c>
      <c r="E46" s="47">
        <f>96359.9+144539.86</f>
        <v>240899.75999999998</v>
      </c>
      <c r="F46" s="37">
        <v>0</v>
      </c>
      <c r="G46" s="37">
        <f t="shared" si="0"/>
        <v>240899.75999999998</v>
      </c>
      <c r="H46" s="38" t="s">
        <v>230</v>
      </c>
      <c r="I46" s="39">
        <v>481799.52</v>
      </c>
      <c r="J46" s="39">
        <v>0</v>
      </c>
      <c r="K46" s="41">
        <v>40725</v>
      </c>
      <c r="L46" s="41">
        <v>41274</v>
      </c>
      <c r="M46" s="38" t="s">
        <v>26</v>
      </c>
      <c r="N46" s="42" t="s">
        <v>27</v>
      </c>
      <c r="O46" s="4"/>
    </row>
    <row r="47" spans="1:15" s="7" customFormat="1" ht="49.5" customHeight="1">
      <c r="A47" s="35">
        <f t="shared" si="1"/>
        <v>45</v>
      </c>
      <c r="B47" s="36" t="s">
        <v>93</v>
      </c>
      <c r="C47" s="36" t="s">
        <v>110</v>
      </c>
      <c r="D47" s="36" t="s">
        <v>111</v>
      </c>
      <c r="E47" s="47">
        <v>214740</v>
      </c>
      <c r="F47" s="37">
        <v>0</v>
      </c>
      <c r="G47" s="37">
        <f t="shared" si="0"/>
        <v>214740</v>
      </c>
      <c r="H47" s="38" t="s">
        <v>112</v>
      </c>
      <c r="I47" s="39">
        <v>644220</v>
      </c>
      <c r="J47" s="39">
        <v>0</v>
      </c>
      <c r="K47" s="41">
        <v>40909</v>
      </c>
      <c r="L47" s="41">
        <v>41639</v>
      </c>
      <c r="M47" s="38" t="s">
        <v>113</v>
      </c>
      <c r="N47" s="42" t="s">
        <v>27</v>
      </c>
      <c r="O47" s="4"/>
    </row>
    <row r="48" spans="1:15" s="7" customFormat="1" ht="49.5" customHeight="1">
      <c r="A48" s="35">
        <f t="shared" si="1"/>
        <v>46</v>
      </c>
      <c r="B48" s="36" t="s">
        <v>93</v>
      </c>
      <c r="C48" s="36" t="s">
        <v>267</v>
      </c>
      <c r="D48" s="36" t="s">
        <v>268</v>
      </c>
      <c r="E48" s="47">
        <v>396871.2</v>
      </c>
      <c r="F48" s="37">
        <v>0</v>
      </c>
      <c r="G48" s="37">
        <f t="shared" si="0"/>
        <v>396871.2</v>
      </c>
      <c r="H48" s="38" t="s">
        <v>269</v>
      </c>
      <c r="I48" s="39">
        <v>0</v>
      </c>
      <c r="J48" s="39">
        <v>0</v>
      </c>
      <c r="K48" s="41">
        <v>40909</v>
      </c>
      <c r="L48" s="41">
        <v>41274</v>
      </c>
      <c r="M48" s="46" t="s">
        <v>26</v>
      </c>
      <c r="N48" s="42" t="s">
        <v>68</v>
      </c>
      <c r="O48" s="4"/>
    </row>
    <row r="49" spans="1:15" s="7" customFormat="1" ht="49.5" customHeight="1">
      <c r="A49" s="35">
        <f t="shared" si="1"/>
        <v>47</v>
      </c>
      <c r="B49" s="36" t="s">
        <v>114</v>
      </c>
      <c r="C49" s="36" t="s">
        <v>115</v>
      </c>
      <c r="D49" s="36" t="s">
        <v>116</v>
      </c>
      <c r="E49" s="37">
        <v>0</v>
      </c>
      <c r="F49" s="37">
        <v>0</v>
      </c>
      <c r="G49" s="37">
        <f t="shared" si="0"/>
        <v>0</v>
      </c>
      <c r="H49" s="38" t="s">
        <v>117</v>
      </c>
      <c r="I49" s="39">
        <v>120000</v>
      </c>
      <c r="J49" s="39">
        <v>120000</v>
      </c>
      <c r="K49" s="41">
        <v>39626</v>
      </c>
      <c r="L49" s="41">
        <v>40629</v>
      </c>
      <c r="M49" s="46" t="s">
        <v>26</v>
      </c>
      <c r="N49" s="42" t="s">
        <v>27</v>
      </c>
      <c r="O49" s="4"/>
    </row>
    <row r="50" spans="1:15" s="7" customFormat="1" ht="49.5" customHeight="1">
      <c r="A50" s="35">
        <f t="shared" si="1"/>
        <v>48</v>
      </c>
      <c r="B50" s="36" t="s">
        <v>118</v>
      </c>
      <c r="C50" s="36" t="s">
        <v>10</v>
      </c>
      <c r="D50" s="36" t="s">
        <v>119</v>
      </c>
      <c r="E50" s="37">
        <v>27319.22</v>
      </c>
      <c r="F50" s="37">
        <v>0</v>
      </c>
      <c r="G50" s="37">
        <f t="shared" si="0"/>
        <v>27319.22</v>
      </c>
      <c r="H50" s="38" t="s">
        <v>120</v>
      </c>
      <c r="I50" s="39">
        <v>50000</v>
      </c>
      <c r="J50" s="39">
        <v>27218.1</v>
      </c>
      <c r="K50" s="41">
        <v>40179</v>
      </c>
      <c r="L50" s="41" t="s">
        <v>67</v>
      </c>
      <c r="M50" s="38" t="s">
        <v>121</v>
      </c>
      <c r="N50" s="42" t="s">
        <v>27</v>
      </c>
      <c r="O50" s="4"/>
    </row>
    <row r="51" spans="1:15" s="7" customFormat="1" ht="49.5" customHeight="1">
      <c r="A51" s="35">
        <f t="shared" si="1"/>
        <v>49</v>
      </c>
      <c r="B51" s="36" t="s">
        <v>118</v>
      </c>
      <c r="C51" s="36" t="s">
        <v>10</v>
      </c>
      <c r="D51" s="36" t="s">
        <v>242</v>
      </c>
      <c r="E51" s="37">
        <f>6284.79+5879.32+5879.32+5879.32+6082.05</f>
        <v>30004.8</v>
      </c>
      <c r="F51" s="37">
        <v>0</v>
      </c>
      <c r="G51" s="37">
        <f t="shared" si="0"/>
        <v>30004.8</v>
      </c>
      <c r="H51" s="38" t="s">
        <v>120</v>
      </c>
      <c r="I51" s="39">
        <v>50000</v>
      </c>
      <c r="J51" s="39">
        <v>27218.1</v>
      </c>
      <c r="K51" s="41">
        <v>40179</v>
      </c>
      <c r="L51" s="41" t="s">
        <v>67</v>
      </c>
      <c r="M51" s="38" t="s">
        <v>121</v>
      </c>
      <c r="N51" s="42" t="s">
        <v>27</v>
      </c>
      <c r="O51" s="4"/>
    </row>
    <row r="52" spans="1:15" s="7" customFormat="1" ht="49.5" customHeight="1">
      <c r="A52" s="35">
        <f t="shared" si="1"/>
        <v>50</v>
      </c>
      <c r="B52" s="36" t="s">
        <v>118</v>
      </c>
      <c r="C52" s="36" t="s">
        <v>10</v>
      </c>
      <c r="D52" s="36" t="s">
        <v>122</v>
      </c>
      <c r="E52" s="37">
        <v>0</v>
      </c>
      <c r="F52" s="37">
        <v>0</v>
      </c>
      <c r="G52" s="37">
        <f t="shared" si="0"/>
        <v>0</v>
      </c>
      <c r="H52" s="38" t="s">
        <v>123</v>
      </c>
      <c r="I52" s="39">
        <v>2950</v>
      </c>
      <c r="J52" s="39">
        <v>2950</v>
      </c>
      <c r="K52" s="41">
        <v>40118</v>
      </c>
      <c r="L52" s="41" t="s">
        <v>67</v>
      </c>
      <c r="M52" s="38" t="s">
        <v>26</v>
      </c>
      <c r="N52" s="42" t="s">
        <v>27</v>
      </c>
      <c r="O52" s="4"/>
    </row>
    <row r="53" spans="1:15" s="7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124</v>
      </c>
      <c r="E53" s="37">
        <v>0</v>
      </c>
      <c r="F53" s="37">
        <v>0</v>
      </c>
      <c r="G53" s="37">
        <f t="shared" si="0"/>
        <v>0</v>
      </c>
      <c r="H53" s="38" t="s">
        <v>123</v>
      </c>
      <c r="I53" s="39">
        <v>900</v>
      </c>
      <c r="J53" s="39">
        <v>925</v>
      </c>
      <c r="K53" s="41">
        <v>40179</v>
      </c>
      <c r="L53" s="41" t="s">
        <v>67</v>
      </c>
      <c r="M53" s="38" t="s">
        <v>26</v>
      </c>
      <c r="N53" s="42" t="s">
        <v>27</v>
      </c>
      <c r="O53" s="4"/>
    </row>
    <row r="54" spans="1:14" s="4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125</v>
      </c>
      <c r="E54" s="37">
        <v>9000</v>
      </c>
      <c r="F54" s="37">
        <v>0</v>
      </c>
      <c r="G54" s="37">
        <f t="shared" si="0"/>
        <v>9000</v>
      </c>
      <c r="H54" s="38" t="s">
        <v>126</v>
      </c>
      <c r="I54" s="39">
        <v>108000</v>
      </c>
      <c r="J54" s="39">
        <v>99000</v>
      </c>
      <c r="K54" s="41">
        <v>40544</v>
      </c>
      <c r="L54" s="41" t="s">
        <v>67</v>
      </c>
      <c r="M54" s="38" t="s">
        <v>26</v>
      </c>
      <c r="N54" s="42" t="s">
        <v>27</v>
      </c>
    </row>
    <row r="55" spans="1:14" s="4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243</v>
      </c>
      <c r="E55" s="37">
        <f>9000+9000+9000+9000+9000+27000</f>
        <v>72000</v>
      </c>
      <c r="F55" s="37">
        <v>0</v>
      </c>
      <c r="G55" s="37">
        <f t="shared" si="0"/>
        <v>72000</v>
      </c>
      <c r="H55" s="38" t="s">
        <v>126</v>
      </c>
      <c r="I55" s="39">
        <v>108000</v>
      </c>
      <c r="J55" s="39">
        <v>0</v>
      </c>
      <c r="K55" s="41">
        <v>40544</v>
      </c>
      <c r="L55" s="41" t="s">
        <v>67</v>
      </c>
      <c r="M55" s="38" t="s">
        <v>26</v>
      </c>
      <c r="N55" s="42" t="s">
        <v>27</v>
      </c>
    </row>
    <row r="56" spans="1:14" s="4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127</v>
      </c>
      <c r="E56" s="37">
        <v>0</v>
      </c>
      <c r="F56" s="37">
        <v>0</v>
      </c>
      <c r="G56" s="37">
        <f t="shared" si="0"/>
        <v>0</v>
      </c>
      <c r="H56" s="38" t="s">
        <v>128</v>
      </c>
      <c r="I56" s="39">
        <v>6000</v>
      </c>
      <c r="J56" s="39">
        <v>6000</v>
      </c>
      <c r="K56" s="41">
        <v>39814</v>
      </c>
      <c r="L56" s="41" t="s">
        <v>67</v>
      </c>
      <c r="M56" s="38" t="s">
        <v>26</v>
      </c>
      <c r="N56" s="42" t="s">
        <v>27</v>
      </c>
    </row>
    <row r="57" spans="1:14" s="4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244</v>
      </c>
      <c r="E57" s="37">
        <v>8793</v>
      </c>
      <c r="F57" s="37">
        <v>0</v>
      </c>
      <c r="G57" s="37">
        <f t="shared" si="0"/>
        <v>8793</v>
      </c>
      <c r="H57" s="38" t="s">
        <v>130</v>
      </c>
      <c r="I57" s="39">
        <v>60300</v>
      </c>
      <c r="J57" s="39">
        <v>50561.25</v>
      </c>
      <c r="K57" s="41" t="s">
        <v>131</v>
      </c>
      <c r="L57" s="41" t="s">
        <v>67</v>
      </c>
      <c r="M57" s="38" t="s">
        <v>26</v>
      </c>
      <c r="N57" s="42" t="s">
        <v>27</v>
      </c>
    </row>
    <row r="58" spans="1:14" s="4" customFormat="1" ht="49.5" customHeight="1">
      <c r="A58" s="35">
        <f t="shared" si="1"/>
        <v>56</v>
      </c>
      <c r="B58" s="36" t="s">
        <v>118</v>
      </c>
      <c r="C58" s="36" t="s">
        <v>10</v>
      </c>
      <c r="D58" s="36" t="s">
        <v>245</v>
      </c>
      <c r="E58" s="37">
        <f>5025+5025+5025+2512.5</f>
        <v>17587.5</v>
      </c>
      <c r="F58" s="37">
        <v>0</v>
      </c>
      <c r="G58" s="37">
        <f t="shared" si="0"/>
        <v>17587.5</v>
      </c>
      <c r="H58" s="38" t="s">
        <v>130</v>
      </c>
      <c r="I58" s="39">
        <v>60300</v>
      </c>
      <c r="J58" s="39">
        <v>0</v>
      </c>
      <c r="K58" s="41" t="s">
        <v>131</v>
      </c>
      <c r="L58" s="41" t="s">
        <v>67</v>
      </c>
      <c r="M58" s="38" t="s">
        <v>26</v>
      </c>
      <c r="N58" s="42" t="s">
        <v>27</v>
      </c>
    </row>
    <row r="59" spans="1:14" s="4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132</v>
      </c>
      <c r="E59" s="37">
        <f>1000</f>
        <v>1000</v>
      </c>
      <c r="F59" s="37">
        <v>0</v>
      </c>
      <c r="G59" s="37">
        <f t="shared" si="0"/>
        <v>1000</v>
      </c>
      <c r="H59" s="38" t="s">
        <v>133</v>
      </c>
      <c r="I59" s="39">
        <v>12000</v>
      </c>
      <c r="J59" s="39">
        <v>11000</v>
      </c>
      <c r="K59" s="41">
        <v>40544</v>
      </c>
      <c r="L59" s="41" t="s">
        <v>67</v>
      </c>
      <c r="M59" s="38" t="s">
        <v>26</v>
      </c>
      <c r="N59" s="42" t="s">
        <v>27</v>
      </c>
    </row>
    <row r="60" spans="1:14" s="4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246</v>
      </c>
      <c r="E60" s="37">
        <f>1000+1000+1000+1000+1000+1000</f>
        <v>6000</v>
      </c>
      <c r="F60" s="37">
        <v>0</v>
      </c>
      <c r="G60" s="37">
        <f t="shared" si="0"/>
        <v>6000</v>
      </c>
      <c r="H60" s="38" t="s">
        <v>133</v>
      </c>
      <c r="I60" s="39">
        <v>12000</v>
      </c>
      <c r="J60" s="39">
        <v>0</v>
      </c>
      <c r="K60" s="41">
        <v>40544</v>
      </c>
      <c r="L60" s="41" t="s">
        <v>67</v>
      </c>
      <c r="M60" s="38" t="s">
        <v>26</v>
      </c>
      <c r="N60" s="42" t="s">
        <v>27</v>
      </c>
    </row>
    <row r="61" spans="1:14" s="4" customFormat="1" ht="49.5" customHeight="1">
      <c r="A61" s="35">
        <f t="shared" si="1"/>
        <v>59</v>
      </c>
      <c r="B61" s="36" t="s">
        <v>118</v>
      </c>
      <c r="C61" s="36" t="s">
        <v>15</v>
      </c>
      <c r="D61" s="36" t="s">
        <v>134</v>
      </c>
      <c r="E61" s="37">
        <f>9000+9000+9000+9000+9000+9000</f>
        <v>54000</v>
      </c>
      <c r="F61" s="37">
        <v>0</v>
      </c>
      <c r="G61" s="37">
        <f t="shared" si="0"/>
        <v>54000</v>
      </c>
      <c r="H61" s="38" t="s">
        <v>135</v>
      </c>
      <c r="I61" s="39">
        <v>108000</v>
      </c>
      <c r="J61" s="39">
        <v>0</v>
      </c>
      <c r="K61" s="41">
        <v>40544</v>
      </c>
      <c r="L61" s="41" t="s">
        <v>67</v>
      </c>
      <c r="M61" s="38" t="s">
        <v>26</v>
      </c>
      <c r="N61" s="42" t="s">
        <v>27</v>
      </c>
    </row>
    <row r="62" spans="1:14" s="4" customFormat="1" ht="49.5" customHeight="1">
      <c r="A62" s="35">
        <f t="shared" si="1"/>
        <v>60</v>
      </c>
      <c r="B62" s="36" t="s">
        <v>118</v>
      </c>
      <c r="C62" s="36" t="s">
        <v>15</v>
      </c>
      <c r="D62" s="36" t="s">
        <v>247</v>
      </c>
      <c r="E62" s="37">
        <f>12500+14700+14700+14700+14700</f>
        <v>71300</v>
      </c>
      <c r="F62" s="37">
        <v>0</v>
      </c>
      <c r="G62" s="37">
        <f t="shared" si="0"/>
        <v>71300</v>
      </c>
      <c r="H62" s="38" t="s">
        <v>137</v>
      </c>
      <c r="I62" s="39">
        <f>12500*12</f>
        <v>150000</v>
      </c>
      <c r="J62" s="39">
        <v>0</v>
      </c>
      <c r="K62" s="41">
        <v>40544</v>
      </c>
      <c r="L62" s="41" t="s">
        <v>67</v>
      </c>
      <c r="M62" s="38" t="s">
        <v>26</v>
      </c>
      <c r="N62" s="42" t="s">
        <v>27</v>
      </c>
    </row>
    <row r="63" spans="1:14" s="4" customFormat="1" ht="49.5" customHeight="1">
      <c r="A63" s="35">
        <f t="shared" si="1"/>
        <v>61</v>
      </c>
      <c r="B63" s="36" t="s">
        <v>118</v>
      </c>
      <c r="C63" s="36" t="s">
        <v>15</v>
      </c>
      <c r="D63" s="36" t="s">
        <v>136</v>
      </c>
      <c r="E63" s="37">
        <v>10300</v>
      </c>
      <c r="F63" s="37">
        <v>0</v>
      </c>
      <c r="G63" s="37">
        <f t="shared" si="0"/>
        <v>10300</v>
      </c>
      <c r="H63" s="38" t="s">
        <v>137</v>
      </c>
      <c r="I63" s="39">
        <f>10300*12</f>
        <v>123600</v>
      </c>
      <c r="J63" s="39">
        <v>113300</v>
      </c>
      <c r="K63" s="41">
        <v>40544</v>
      </c>
      <c r="L63" s="41" t="s">
        <v>67</v>
      </c>
      <c r="M63" s="38" t="s">
        <v>26</v>
      </c>
      <c r="N63" s="42" t="s">
        <v>27</v>
      </c>
    </row>
    <row r="64" spans="1:14" s="4" customFormat="1" ht="49.5" customHeight="1">
      <c r="A64" s="35">
        <f t="shared" si="1"/>
        <v>62</v>
      </c>
      <c r="B64" s="36" t="s">
        <v>118</v>
      </c>
      <c r="C64" s="36" t="s">
        <v>15</v>
      </c>
      <c r="D64" s="36" t="s">
        <v>138</v>
      </c>
      <c r="E64" s="37">
        <v>2200</v>
      </c>
      <c r="F64" s="37">
        <v>0</v>
      </c>
      <c r="G64" s="37">
        <f t="shared" si="0"/>
        <v>2200</v>
      </c>
      <c r="H64" s="38" t="s">
        <v>139</v>
      </c>
      <c r="I64" s="39">
        <v>26400</v>
      </c>
      <c r="J64" s="39">
        <f>11*2200</f>
        <v>24200</v>
      </c>
      <c r="K64" s="41">
        <v>40544</v>
      </c>
      <c r="L64" s="41" t="s">
        <v>67</v>
      </c>
      <c r="M64" s="38" t="s">
        <v>26</v>
      </c>
      <c r="N64" s="42" t="s">
        <v>27</v>
      </c>
    </row>
    <row r="65" spans="1:14" s="4" customFormat="1" ht="49.5" customHeight="1">
      <c r="A65" s="35">
        <f t="shared" si="1"/>
        <v>63</v>
      </c>
      <c r="B65" s="36" t="s">
        <v>118</v>
      </c>
      <c r="C65" s="36" t="s">
        <v>15</v>
      </c>
      <c r="D65" s="36" t="s">
        <v>140</v>
      </c>
      <c r="E65" s="37">
        <f>2835</f>
        <v>2835</v>
      </c>
      <c r="F65" s="37">
        <v>0</v>
      </c>
      <c r="G65" s="37">
        <f t="shared" si="0"/>
        <v>2835</v>
      </c>
      <c r="H65" s="38" t="s">
        <v>141</v>
      </c>
      <c r="I65" s="39">
        <v>34020</v>
      </c>
      <c r="J65" s="39">
        <f>11*2835</f>
        <v>31185</v>
      </c>
      <c r="K65" s="41">
        <v>40544</v>
      </c>
      <c r="L65" s="41" t="s">
        <v>67</v>
      </c>
      <c r="M65" s="38" t="s">
        <v>26</v>
      </c>
      <c r="N65" s="42" t="s">
        <v>27</v>
      </c>
    </row>
    <row r="66" spans="1:14" s="4" customFormat="1" ht="49.5" customHeight="1">
      <c r="A66" s="35">
        <f t="shared" si="1"/>
        <v>64</v>
      </c>
      <c r="B66" s="36" t="s">
        <v>118</v>
      </c>
      <c r="C66" s="36" t="s">
        <v>15</v>
      </c>
      <c r="D66" s="36" t="s">
        <v>248</v>
      </c>
      <c r="E66" s="37">
        <f>2835+2835+2835+2835+2835</f>
        <v>14175</v>
      </c>
      <c r="F66" s="37">
        <v>0</v>
      </c>
      <c r="G66" s="37">
        <f t="shared" si="0"/>
        <v>14175</v>
      </c>
      <c r="H66" s="38" t="s">
        <v>141</v>
      </c>
      <c r="I66" s="39">
        <v>34020</v>
      </c>
      <c r="J66" s="39">
        <v>0</v>
      </c>
      <c r="K66" s="41">
        <v>40544</v>
      </c>
      <c r="L66" s="41" t="s">
        <v>67</v>
      </c>
      <c r="M66" s="38" t="s">
        <v>26</v>
      </c>
      <c r="N66" s="42" t="s">
        <v>27</v>
      </c>
    </row>
    <row r="67" spans="1:14" s="4" customFormat="1" ht="49.5" customHeight="1">
      <c r="A67" s="35">
        <f t="shared" si="1"/>
        <v>65</v>
      </c>
      <c r="B67" s="36" t="s">
        <v>118</v>
      </c>
      <c r="C67" s="36" t="s">
        <v>15</v>
      </c>
      <c r="D67" s="36" t="s">
        <v>234</v>
      </c>
      <c r="E67" s="37">
        <v>0</v>
      </c>
      <c r="F67" s="37">
        <v>0</v>
      </c>
      <c r="G67" s="37">
        <f aca="true" t="shared" si="2" ref="G67:G98">E67+F67</f>
        <v>0</v>
      </c>
      <c r="H67" s="38" t="s">
        <v>143</v>
      </c>
      <c r="I67" s="39">
        <v>12000</v>
      </c>
      <c r="J67" s="39">
        <v>1000</v>
      </c>
      <c r="K67" s="41">
        <v>40544</v>
      </c>
      <c r="L67" s="41" t="s">
        <v>67</v>
      </c>
      <c r="M67" s="38" t="s">
        <v>26</v>
      </c>
      <c r="N67" s="42" t="s">
        <v>27</v>
      </c>
    </row>
    <row r="68" spans="1:14" s="4" customFormat="1" ht="49.5" customHeight="1">
      <c r="A68" s="35">
        <f aca="true" t="shared" si="3" ref="A68:A101">A67+1</f>
        <v>66</v>
      </c>
      <c r="B68" s="36" t="s">
        <v>118</v>
      </c>
      <c r="C68" s="36" t="s">
        <v>10</v>
      </c>
      <c r="D68" s="36" t="s">
        <v>144</v>
      </c>
      <c r="E68" s="37">
        <f>1903.88+1903.88</f>
        <v>3807.76</v>
      </c>
      <c r="F68" s="37">
        <v>0</v>
      </c>
      <c r="G68" s="37">
        <f t="shared" si="2"/>
        <v>3807.76</v>
      </c>
      <c r="H68" s="38" t="s">
        <v>145</v>
      </c>
      <c r="I68" s="39">
        <v>11450</v>
      </c>
      <c r="J68" s="39">
        <v>0</v>
      </c>
      <c r="K68" s="41">
        <v>40544</v>
      </c>
      <c r="L68" s="41" t="s">
        <v>67</v>
      </c>
      <c r="M68" s="38" t="s">
        <v>26</v>
      </c>
      <c r="N68" s="42" t="s">
        <v>27</v>
      </c>
    </row>
    <row r="69" spans="1:14" s="4" customFormat="1" ht="49.5" customHeight="1">
      <c r="A69" s="35">
        <f t="shared" si="3"/>
        <v>67</v>
      </c>
      <c r="B69" s="36" t="s">
        <v>118</v>
      </c>
      <c r="C69" s="36" t="s">
        <v>10</v>
      </c>
      <c r="D69" s="36" t="s">
        <v>249</v>
      </c>
      <c r="E69" s="37">
        <f>1113.57+1113.57+1113.57+1113.57+3017.45+1113.57</f>
        <v>8585.3</v>
      </c>
      <c r="F69" s="37">
        <v>0</v>
      </c>
      <c r="G69" s="37">
        <f t="shared" si="2"/>
        <v>8585.3</v>
      </c>
      <c r="H69" s="38" t="s">
        <v>145</v>
      </c>
      <c r="I69" s="39">
        <v>11450</v>
      </c>
      <c r="J69" s="39">
        <v>0</v>
      </c>
      <c r="K69" s="41">
        <v>40544</v>
      </c>
      <c r="L69" s="41" t="s">
        <v>67</v>
      </c>
      <c r="M69" s="38" t="s">
        <v>26</v>
      </c>
      <c r="N69" s="42" t="s">
        <v>27</v>
      </c>
    </row>
    <row r="70" spans="1:14" s="4" customFormat="1" ht="49.5" customHeight="1">
      <c r="A70" s="35">
        <f t="shared" si="3"/>
        <v>68</v>
      </c>
      <c r="B70" s="36" t="s">
        <v>118</v>
      </c>
      <c r="C70" s="36" t="s">
        <v>146</v>
      </c>
      <c r="D70" s="36" t="s">
        <v>147</v>
      </c>
      <c r="E70" s="37">
        <v>0</v>
      </c>
      <c r="F70" s="37">
        <v>0</v>
      </c>
      <c r="G70" s="37">
        <f t="shared" si="2"/>
        <v>0</v>
      </c>
      <c r="H70" s="38" t="s">
        <v>148</v>
      </c>
      <c r="I70" s="39">
        <v>480000</v>
      </c>
      <c r="J70" s="39">
        <v>480000</v>
      </c>
      <c r="K70" s="41">
        <v>40141</v>
      </c>
      <c r="L70" s="41">
        <v>41049</v>
      </c>
      <c r="M70" s="38" t="s">
        <v>26</v>
      </c>
      <c r="N70" s="42" t="s">
        <v>27</v>
      </c>
    </row>
    <row r="71" spans="1:14" s="4" customFormat="1" ht="49.5" customHeight="1">
      <c r="A71" s="35">
        <f t="shared" si="3"/>
        <v>69</v>
      </c>
      <c r="B71" s="36" t="s">
        <v>149</v>
      </c>
      <c r="C71" s="75" t="s">
        <v>150</v>
      </c>
      <c r="D71" s="36" t="s">
        <v>151</v>
      </c>
      <c r="E71" s="37">
        <v>0</v>
      </c>
      <c r="F71" s="37">
        <v>0</v>
      </c>
      <c r="G71" s="37">
        <f t="shared" si="2"/>
        <v>0</v>
      </c>
      <c r="H71" s="38" t="s">
        <v>152</v>
      </c>
      <c r="I71" s="39">
        <v>1800000</v>
      </c>
      <c r="J71" s="39">
        <v>1080000</v>
      </c>
      <c r="K71" s="41">
        <v>40638</v>
      </c>
      <c r="L71" s="41">
        <v>41002</v>
      </c>
      <c r="M71" s="38" t="s">
        <v>26</v>
      </c>
      <c r="N71" s="42" t="s">
        <v>68</v>
      </c>
    </row>
    <row r="72" spans="1:14" s="4" customFormat="1" ht="49.5" customHeight="1">
      <c r="A72" s="35">
        <f t="shared" si="3"/>
        <v>70</v>
      </c>
      <c r="B72" s="36" t="s">
        <v>153</v>
      </c>
      <c r="C72" s="75" t="s">
        <v>154</v>
      </c>
      <c r="D72" s="36" t="s">
        <v>155</v>
      </c>
      <c r="E72" s="37">
        <v>0</v>
      </c>
      <c r="F72" s="37">
        <v>0</v>
      </c>
      <c r="G72" s="37">
        <f t="shared" si="2"/>
        <v>0</v>
      </c>
      <c r="H72" s="38" t="s">
        <v>156</v>
      </c>
      <c r="I72" s="39">
        <v>5860725</v>
      </c>
      <c r="J72" s="39">
        <v>5860725</v>
      </c>
      <c r="K72" s="41">
        <v>38884</v>
      </c>
      <c r="L72" s="41">
        <v>40451</v>
      </c>
      <c r="M72" s="38" t="s">
        <v>26</v>
      </c>
      <c r="N72" s="42" t="s">
        <v>27</v>
      </c>
    </row>
    <row r="73" spans="1:14" s="4" customFormat="1" ht="49.5" customHeight="1">
      <c r="A73" s="35">
        <f t="shared" si="3"/>
        <v>71</v>
      </c>
      <c r="B73" s="36" t="s">
        <v>153</v>
      </c>
      <c r="C73" s="75" t="s">
        <v>154</v>
      </c>
      <c r="D73" s="36" t="s">
        <v>157</v>
      </c>
      <c r="E73" s="37">
        <f>723449.59+353122.79+112433.15+134435.75+243087.79</f>
        <v>1566529.0699999998</v>
      </c>
      <c r="F73" s="37">
        <v>0</v>
      </c>
      <c r="G73" s="37">
        <f t="shared" si="2"/>
        <v>1566529.0699999998</v>
      </c>
      <c r="H73" s="38" t="s">
        <v>158</v>
      </c>
      <c r="I73" s="39">
        <v>4900000</v>
      </c>
      <c r="J73" s="39">
        <f>571422.36+2000142.18</f>
        <v>2571564.54</v>
      </c>
      <c r="K73" s="41">
        <v>39447</v>
      </c>
      <c r="L73" s="41">
        <v>40482</v>
      </c>
      <c r="M73" s="38" t="s">
        <v>159</v>
      </c>
      <c r="N73" s="42" t="s">
        <v>27</v>
      </c>
    </row>
    <row r="74" spans="1:14" s="4" customFormat="1" ht="49.5" customHeight="1">
      <c r="A74" s="35">
        <f t="shared" si="3"/>
        <v>72</v>
      </c>
      <c r="B74" s="36" t="s">
        <v>153</v>
      </c>
      <c r="C74" s="75" t="s">
        <v>154</v>
      </c>
      <c r="D74" s="36" t="s">
        <v>160</v>
      </c>
      <c r="E74" s="37">
        <v>0</v>
      </c>
      <c r="F74" s="37">
        <v>0</v>
      </c>
      <c r="G74" s="37">
        <f t="shared" si="2"/>
        <v>0</v>
      </c>
      <c r="H74" s="38" t="s">
        <v>161</v>
      </c>
      <c r="I74" s="39">
        <v>8195570</v>
      </c>
      <c r="J74" s="39">
        <f>827000+110901.25+287371.7</f>
        <v>1225272.95</v>
      </c>
      <c r="K74" s="41">
        <v>39447</v>
      </c>
      <c r="L74" s="41">
        <v>40471</v>
      </c>
      <c r="M74" s="38" t="s">
        <v>159</v>
      </c>
      <c r="N74" s="42" t="s">
        <v>27</v>
      </c>
    </row>
    <row r="75" spans="1:14" s="4" customFormat="1" ht="49.5" customHeight="1">
      <c r="A75" s="35">
        <f t="shared" si="3"/>
        <v>73</v>
      </c>
      <c r="B75" s="36" t="s">
        <v>153</v>
      </c>
      <c r="C75" s="75" t="s">
        <v>162</v>
      </c>
      <c r="D75" s="36" t="s">
        <v>163</v>
      </c>
      <c r="E75" s="37">
        <v>0</v>
      </c>
      <c r="F75" s="37">
        <v>0</v>
      </c>
      <c r="G75" s="37">
        <f t="shared" si="2"/>
        <v>0</v>
      </c>
      <c r="H75" s="38" t="s">
        <v>164</v>
      </c>
      <c r="I75" s="39">
        <v>394200</v>
      </c>
      <c r="J75" s="39">
        <v>394200</v>
      </c>
      <c r="K75" s="41">
        <v>40528</v>
      </c>
      <c r="L75" s="41">
        <v>41455</v>
      </c>
      <c r="M75" s="38" t="s">
        <v>26</v>
      </c>
      <c r="N75" s="42" t="s">
        <v>27</v>
      </c>
    </row>
    <row r="76" spans="1:14" s="4" customFormat="1" ht="49.5" customHeight="1">
      <c r="A76" s="35">
        <f t="shared" si="3"/>
        <v>74</v>
      </c>
      <c r="B76" s="36" t="s">
        <v>153</v>
      </c>
      <c r="C76" s="75" t="s">
        <v>162</v>
      </c>
      <c r="D76" s="36" t="s">
        <v>165</v>
      </c>
      <c r="E76" s="37">
        <v>57311.33</v>
      </c>
      <c r="F76" s="37">
        <v>0</v>
      </c>
      <c r="G76" s="37">
        <f t="shared" si="2"/>
        <v>57311.33</v>
      </c>
      <c r="H76" s="38" t="s">
        <v>166</v>
      </c>
      <c r="I76" s="39">
        <v>255740</v>
      </c>
      <c r="J76" s="39">
        <v>86491.27</v>
      </c>
      <c r="K76" s="41">
        <v>40528</v>
      </c>
      <c r="L76" s="41">
        <v>41455</v>
      </c>
      <c r="M76" s="38" t="s">
        <v>26</v>
      </c>
      <c r="N76" s="42" t="s">
        <v>27</v>
      </c>
    </row>
    <row r="77" spans="1:14" s="4" customFormat="1" ht="49.5" customHeight="1">
      <c r="A77" s="35">
        <f t="shared" si="3"/>
        <v>75</v>
      </c>
      <c r="B77" s="36" t="s">
        <v>153</v>
      </c>
      <c r="C77" s="75" t="s">
        <v>162</v>
      </c>
      <c r="D77" s="36" t="s">
        <v>167</v>
      </c>
      <c r="E77" s="37">
        <v>0</v>
      </c>
      <c r="F77" s="37">
        <v>0</v>
      </c>
      <c r="G77" s="37">
        <f t="shared" si="2"/>
        <v>0</v>
      </c>
      <c r="H77" s="38" t="s">
        <v>168</v>
      </c>
      <c r="I77" s="39">
        <v>295300</v>
      </c>
      <c r="J77" s="39">
        <v>103414.06</v>
      </c>
      <c r="K77" s="41">
        <v>40528</v>
      </c>
      <c r="L77" s="41">
        <v>41455</v>
      </c>
      <c r="M77" s="38" t="s">
        <v>26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153</v>
      </c>
      <c r="C78" s="75" t="s">
        <v>162</v>
      </c>
      <c r="D78" s="36" t="s">
        <v>169</v>
      </c>
      <c r="E78" s="37">
        <v>0</v>
      </c>
      <c r="F78" s="37">
        <v>0</v>
      </c>
      <c r="G78" s="37">
        <f t="shared" si="2"/>
        <v>0</v>
      </c>
      <c r="H78" s="38" t="s">
        <v>170</v>
      </c>
      <c r="I78" s="39">
        <v>245850</v>
      </c>
      <c r="J78" s="39">
        <v>85383.7</v>
      </c>
      <c r="K78" s="41">
        <v>40528</v>
      </c>
      <c r="L78" s="41">
        <v>41455</v>
      </c>
      <c r="M78" s="38" t="s">
        <v>26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153</v>
      </c>
      <c r="C79" s="75" t="s">
        <v>304</v>
      </c>
      <c r="D79" s="36" t="s">
        <v>305</v>
      </c>
      <c r="E79" s="37">
        <v>200000</v>
      </c>
      <c r="F79" s="37">
        <v>0</v>
      </c>
      <c r="G79" s="37">
        <f t="shared" si="2"/>
        <v>200000</v>
      </c>
      <c r="H79" s="38" t="s">
        <v>306</v>
      </c>
      <c r="I79" s="39">
        <v>400000</v>
      </c>
      <c r="J79" s="39">
        <v>0</v>
      </c>
      <c r="K79" s="41">
        <v>40529</v>
      </c>
      <c r="L79" s="41">
        <v>41273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171</v>
      </c>
      <c r="C80" s="75" t="s">
        <v>172</v>
      </c>
      <c r="D80" s="36" t="s">
        <v>173</v>
      </c>
      <c r="E80" s="37">
        <v>0</v>
      </c>
      <c r="F80" s="37">
        <v>0</v>
      </c>
      <c r="G80" s="37">
        <f t="shared" si="2"/>
        <v>0</v>
      </c>
      <c r="H80" s="38" t="s">
        <v>174</v>
      </c>
      <c r="I80" s="39">
        <v>97500</v>
      </c>
      <c r="J80" s="39">
        <v>48750</v>
      </c>
      <c r="K80" s="41">
        <v>40057</v>
      </c>
      <c r="L80" s="41">
        <v>40452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175</v>
      </c>
      <c r="C81" s="75" t="s">
        <v>176</v>
      </c>
      <c r="D81" s="75" t="s">
        <v>177</v>
      </c>
      <c r="E81" s="37">
        <v>0</v>
      </c>
      <c r="F81" s="37">
        <v>0</v>
      </c>
      <c r="G81" s="37">
        <f t="shared" si="2"/>
        <v>0</v>
      </c>
      <c r="H81" s="38" t="s">
        <v>178</v>
      </c>
      <c r="I81" s="39">
        <v>146250</v>
      </c>
      <c r="J81" s="39">
        <v>146250</v>
      </c>
      <c r="K81" s="41">
        <v>39812</v>
      </c>
      <c r="L81" s="41">
        <v>40663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175</v>
      </c>
      <c r="C82" s="75" t="s">
        <v>176</v>
      </c>
      <c r="D82" s="75" t="s">
        <v>179</v>
      </c>
      <c r="E82" s="37">
        <v>0</v>
      </c>
      <c r="F82" s="37">
        <v>0</v>
      </c>
      <c r="G82" s="37">
        <f t="shared" si="2"/>
        <v>0</v>
      </c>
      <c r="H82" s="38" t="s">
        <v>180</v>
      </c>
      <c r="I82" s="39">
        <v>254104.34</v>
      </c>
      <c r="J82" s="39">
        <v>254104.34</v>
      </c>
      <c r="K82" s="41">
        <v>40361</v>
      </c>
      <c r="L82" s="41">
        <v>40723</v>
      </c>
      <c r="M82" s="38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181</v>
      </c>
      <c r="C83" s="75" t="s">
        <v>182</v>
      </c>
      <c r="D83" s="36" t="s">
        <v>236</v>
      </c>
      <c r="E83" s="37">
        <v>24192.64</v>
      </c>
      <c r="F83" s="37">
        <v>0</v>
      </c>
      <c r="G83" s="37">
        <f t="shared" si="2"/>
        <v>24192.64</v>
      </c>
      <c r="H83" s="38" t="s">
        <v>307</v>
      </c>
      <c r="I83" s="39">
        <v>72000</v>
      </c>
      <c r="J83" s="39">
        <v>71997.99</v>
      </c>
      <c r="K83" s="41">
        <v>40544</v>
      </c>
      <c r="L83" s="41" t="s">
        <v>67</v>
      </c>
      <c r="M83" s="38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181</v>
      </c>
      <c r="C84" s="75" t="s">
        <v>185</v>
      </c>
      <c r="D84" s="36" t="s">
        <v>237</v>
      </c>
      <c r="E84" s="37">
        <f>25000+25000</f>
        <v>50000</v>
      </c>
      <c r="F84" s="37">
        <v>0</v>
      </c>
      <c r="G84" s="37">
        <f t="shared" si="2"/>
        <v>50000</v>
      </c>
      <c r="H84" s="38" t="s">
        <v>308</v>
      </c>
      <c r="I84" s="39">
        <v>105000</v>
      </c>
      <c r="J84" s="39">
        <v>82954.57</v>
      </c>
      <c r="K84" s="41">
        <v>40544</v>
      </c>
      <c r="L84" s="41" t="s">
        <v>67</v>
      </c>
      <c r="M84" s="38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181</v>
      </c>
      <c r="C85" s="75" t="s">
        <v>188</v>
      </c>
      <c r="D85" s="36" t="s">
        <v>189</v>
      </c>
      <c r="E85" s="37">
        <v>500000</v>
      </c>
      <c r="F85" s="37">
        <v>0</v>
      </c>
      <c r="G85" s="37">
        <f t="shared" si="2"/>
        <v>500000</v>
      </c>
      <c r="H85" s="38" t="s">
        <v>309</v>
      </c>
      <c r="I85" s="39">
        <v>2000000</v>
      </c>
      <c r="J85" s="39">
        <f>200000+1300000</f>
        <v>1500000</v>
      </c>
      <c r="K85" s="41">
        <v>40057</v>
      </c>
      <c r="L85" s="41" t="s">
        <v>67</v>
      </c>
      <c r="M85" s="38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181</v>
      </c>
      <c r="C86" s="75" t="s">
        <v>191</v>
      </c>
      <c r="D86" s="36" t="s">
        <v>250</v>
      </c>
      <c r="E86" s="37">
        <f>8800+17600+8800+8800+8800+8800+8800</f>
        <v>70400</v>
      </c>
      <c r="F86" s="37">
        <v>0</v>
      </c>
      <c r="G86" s="37">
        <f t="shared" si="2"/>
        <v>70400</v>
      </c>
      <c r="H86" s="38" t="s">
        <v>310</v>
      </c>
      <c r="I86" s="39">
        <v>105600</v>
      </c>
      <c r="J86" s="39">
        <v>88000</v>
      </c>
      <c r="K86" s="41">
        <v>40544</v>
      </c>
      <c r="L86" s="41" t="s">
        <v>67</v>
      </c>
      <c r="M86" s="38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75" t="s">
        <v>311</v>
      </c>
      <c r="D87" s="36" t="s">
        <v>312</v>
      </c>
      <c r="E87" s="37">
        <v>160000</v>
      </c>
      <c r="F87" s="37">
        <v>0</v>
      </c>
      <c r="G87" s="37">
        <f t="shared" si="2"/>
        <v>160000</v>
      </c>
      <c r="H87" s="38" t="s">
        <v>310</v>
      </c>
      <c r="I87" s="39">
        <v>480000</v>
      </c>
      <c r="J87" s="39">
        <v>0</v>
      </c>
      <c r="K87" s="41">
        <v>40909</v>
      </c>
      <c r="L87" s="41" t="s">
        <v>67</v>
      </c>
      <c r="M87" s="38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75" t="s">
        <v>194</v>
      </c>
      <c r="D88" s="36" t="s">
        <v>251</v>
      </c>
      <c r="E88" s="37">
        <f>96652.2+32217.4+32217.4+64434.8</f>
        <v>225521.8</v>
      </c>
      <c r="F88" s="37">
        <v>0</v>
      </c>
      <c r="G88" s="37">
        <f t="shared" si="2"/>
        <v>225521.8</v>
      </c>
      <c r="H88" s="38" t="s">
        <v>196</v>
      </c>
      <c r="I88" s="39">
        <v>386608.8</v>
      </c>
      <c r="J88" s="39">
        <v>354391.4</v>
      </c>
      <c r="K88" s="41">
        <v>40544</v>
      </c>
      <c r="L88" s="41" t="s">
        <v>67</v>
      </c>
      <c r="M88" s="38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75" t="s">
        <v>185</v>
      </c>
      <c r="D89" s="36" t="s">
        <v>197</v>
      </c>
      <c r="E89" s="37">
        <v>36000</v>
      </c>
      <c r="F89" s="37">
        <v>0</v>
      </c>
      <c r="G89" s="37">
        <f t="shared" si="2"/>
        <v>36000</v>
      </c>
      <c r="H89" s="38" t="s">
        <v>184</v>
      </c>
      <c r="I89" s="39">
        <v>36000</v>
      </c>
      <c r="J89" s="39">
        <v>0</v>
      </c>
      <c r="K89" s="41">
        <v>40544</v>
      </c>
      <c r="L89" s="41" t="s">
        <v>67</v>
      </c>
      <c r="M89" s="38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75" t="s">
        <v>185</v>
      </c>
      <c r="D90" s="75" t="s">
        <v>198</v>
      </c>
      <c r="E90" s="37">
        <f>4407.62+71493.36+72156.88+23104.62</f>
        <v>171162.47999999998</v>
      </c>
      <c r="F90" s="37">
        <v>0</v>
      </c>
      <c r="G90" s="37">
        <f t="shared" si="2"/>
        <v>171162.47999999998</v>
      </c>
      <c r="H90" s="44" t="s">
        <v>184</v>
      </c>
      <c r="I90" s="45">
        <v>245000</v>
      </c>
      <c r="J90" s="45">
        <v>237337.58</v>
      </c>
      <c r="K90" s="41">
        <v>40544</v>
      </c>
      <c r="L90" s="41" t="s">
        <v>67</v>
      </c>
      <c r="M90" s="46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75" t="s">
        <v>199</v>
      </c>
      <c r="D91" s="75" t="s">
        <v>200</v>
      </c>
      <c r="E91" s="37">
        <v>0</v>
      </c>
      <c r="F91" s="37">
        <v>0</v>
      </c>
      <c r="G91" s="37">
        <f t="shared" si="2"/>
        <v>0</v>
      </c>
      <c r="H91" s="44" t="s">
        <v>201</v>
      </c>
      <c r="I91" s="45">
        <v>95000</v>
      </c>
      <c r="J91" s="45">
        <v>95000</v>
      </c>
      <c r="K91" s="41">
        <v>40483</v>
      </c>
      <c r="L91" s="41" t="s">
        <v>67</v>
      </c>
      <c r="M91" s="46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75" t="s">
        <v>199</v>
      </c>
      <c r="D92" s="75" t="s">
        <v>202</v>
      </c>
      <c r="E92" s="37">
        <v>0</v>
      </c>
      <c r="F92" s="37">
        <v>0</v>
      </c>
      <c r="G92" s="37">
        <f t="shared" si="2"/>
        <v>0</v>
      </c>
      <c r="H92" s="44" t="s">
        <v>201</v>
      </c>
      <c r="I92" s="45">
        <v>30000</v>
      </c>
      <c r="J92" s="45">
        <v>30000</v>
      </c>
      <c r="K92" s="41">
        <v>40483</v>
      </c>
      <c r="L92" s="41" t="s">
        <v>67</v>
      </c>
      <c r="M92" s="46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75" t="s">
        <v>199</v>
      </c>
      <c r="D93" s="75" t="s">
        <v>203</v>
      </c>
      <c r="E93" s="37">
        <v>1950</v>
      </c>
      <c r="F93" s="37">
        <v>0</v>
      </c>
      <c r="G93" s="37">
        <f t="shared" si="2"/>
        <v>1950</v>
      </c>
      <c r="H93" s="44" t="s">
        <v>201</v>
      </c>
      <c r="I93" s="45">
        <v>1950</v>
      </c>
      <c r="J93" s="45">
        <v>0</v>
      </c>
      <c r="K93" s="41">
        <v>40878</v>
      </c>
      <c r="L93" s="41" t="s">
        <v>67</v>
      </c>
      <c r="M93" s="46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75" t="s">
        <v>204</v>
      </c>
      <c r="D94" s="75" t="s">
        <v>205</v>
      </c>
      <c r="E94" s="37">
        <v>0</v>
      </c>
      <c r="F94" s="37">
        <v>0</v>
      </c>
      <c r="G94" s="37">
        <f t="shared" si="2"/>
        <v>0</v>
      </c>
      <c r="H94" s="44" t="s">
        <v>206</v>
      </c>
      <c r="I94" s="45">
        <v>266666.7</v>
      </c>
      <c r="J94" s="37">
        <v>26666.67</v>
      </c>
      <c r="K94" s="41">
        <v>40544</v>
      </c>
      <c r="L94" s="41" t="s">
        <v>67</v>
      </c>
      <c r="M94" s="46" t="s">
        <v>26</v>
      </c>
      <c r="N94" s="42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75" t="s">
        <v>204</v>
      </c>
      <c r="D95" s="75" t="s">
        <v>207</v>
      </c>
      <c r="E95" s="37">
        <v>0</v>
      </c>
      <c r="F95" s="37">
        <v>0</v>
      </c>
      <c r="G95" s="37">
        <f t="shared" si="2"/>
        <v>0</v>
      </c>
      <c r="H95" s="44" t="s">
        <v>208</v>
      </c>
      <c r="I95" s="45">
        <v>200000</v>
      </c>
      <c r="J95" s="37">
        <v>20000</v>
      </c>
      <c r="K95" s="41">
        <v>40544</v>
      </c>
      <c r="L95" s="41" t="s">
        <v>67</v>
      </c>
      <c r="M95" s="46" t="s">
        <v>26</v>
      </c>
      <c r="N95" s="42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75" t="s">
        <v>204</v>
      </c>
      <c r="D96" s="75" t="s">
        <v>209</v>
      </c>
      <c r="E96" s="37">
        <v>0</v>
      </c>
      <c r="F96" s="37">
        <v>0</v>
      </c>
      <c r="G96" s="37">
        <f t="shared" si="2"/>
        <v>0</v>
      </c>
      <c r="H96" s="44" t="s">
        <v>210</v>
      </c>
      <c r="I96" s="45">
        <v>400000</v>
      </c>
      <c r="J96" s="37">
        <v>40000</v>
      </c>
      <c r="K96" s="41">
        <v>40544</v>
      </c>
      <c r="L96" s="41" t="s">
        <v>67</v>
      </c>
      <c r="M96" s="46" t="s">
        <v>26</v>
      </c>
      <c r="N96" s="42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75" t="s">
        <v>204</v>
      </c>
      <c r="D97" s="75" t="s">
        <v>211</v>
      </c>
      <c r="E97" s="37">
        <v>0</v>
      </c>
      <c r="F97" s="37">
        <v>0</v>
      </c>
      <c r="G97" s="37">
        <f t="shared" si="2"/>
        <v>0</v>
      </c>
      <c r="H97" s="44" t="s">
        <v>212</v>
      </c>
      <c r="I97" s="45">
        <v>200000</v>
      </c>
      <c r="J97" s="37">
        <v>20000</v>
      </c>
      <c r="K97" s="41">
        <v>40544</v>
      </c>
      <c r="L97" s="41" t="s">
        <v>67</v>
      </c>
      <c r="M97" s="46" t="s">
        <v>26</v>
      </c>
      <c r="N97" s="42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75" t="s">
        <v>204</v>
      </c>
      <c r="D98" s="75" t="s">
        <v>213</v>
      </c>
      <c r="E98" s="37">
        <v>0</v>
      </c>
      <c r="F98" s="37">
        <v>0</v>
      </c>
      <c r="G98" s="37">
        <f t="shared" si="2"/>
        <v>0</v>
      </c>
      <c r="H98" s="44" t="s">
        <v>214</v>
      </c>
      <c r="I98" s="45">
        <v>200000</v>
      </c>
      <c r="J98" s="37">
        <v>20000</v>
      </c>
      <c r="K98" s="41">
        <v>40544</v>
      </c>
      <c r="L98" s="41" t="s">
        <v>67</v>
      </c>
      <c r="M98" s="46" t="s">
        <v>26</v>
      </c>
      <c r="N98" s="42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75" t="s">
        <v>252</v>
      </c>
      <c r="D99" s="75" t="s">
        <v>253</v>
      </c>
      <c r="E99" s="37">
        <v>36000</v>
      </c>
      <c r="F99" s="37">
        <v>0</v>
      </c>
      <c r="G99" s="37">
        <f>E99+F99</f>
        <v>36000</v>
      </c>
      <c r="H99" s="44" t="s">
        <v>254</v>
      </c>
      <c r="I99" s="45">
        <v>180000</v>
      </c>
      <c r="J99" s="37">
        <v>0</v>
      </c>
      <c r="K99" s="41">
        <v>40909</v>
      </c>
      <c r="L99" s="41" t="s">
        <v>67</v>
      </c>
      <c r="M99" s="46" t="s">
        <v>26</v>
      </c>
      <c r="N99" s="42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75" t="s">
        <v>286</v>
      </c>
      <c r="D100" s="75" t="s">
        <v>287</v>
      </c>
      <c r="E100" s="37">
        <v>14070</v>
      </c>
      <c r="F100" s="37">
        <v>0</v>
      </c>
      <c r="G100" s="37">
        <f>E100+F100</f>
        <v>14070</v>
      </c>
      <c r="H100" s="44" t="s">
        <v>288</v>
      </c>
      <c r="I100" s="45">
        <v>70350</v>
      </c>
      <c r="J100" s="37">
        <v>0</v>
      </c>
      <c r="K100" s="41">
        <v>41085</v>
      </c>
      <c r="L100" s="41">
        <v>41639</v>
      </c>
      <c r="M100" s="46" t="s">
        <v>26</v>
      </c>
      <c r="N100" s="42" t="s">
        <v>27</v>
      </c>
    </row>
    <row r="101" spans="1:14" s="4" customFormat="1" ht="49.5" customHeight="1" thickBot="1">
      <c r="A101" s="48">
        <f t="shared" si="3"/>
        <v>99</v>
      </c>
      <c r="B101" s="49" t="s">
        <v>181</v>
      </c>
      <c r="C101" s="76" t="s">
        <v>286</v>
      </c>
      <c r="D101" s="76" t="s">
        <v>289</v>
      </c>
      <c r="E101" s="50">
        <v>25905</v>
      </c>
      <c r="F101" s="50">
        <v>0</v>
      </c>
      <c r="G101" s="50">
        <f>E101+F101</f>
        <v>25905</v>
      </c>
      <c r="H101" s="51" t="s">
        <v>290</v>
      </c>
      <c r="I101" s="52">
        <v>129525</v>
      </c>
      <c r="J101" s="50">
        <v>0</v>
      </c>
      <c r="K101" s="54">
        <v>41085</v>
      </c>
      <c r="L101" s="54">
        <v>41639</v>
      </c>
      <c r="M101" s="55" t="s">
        <v>26</v>
      </c>
      <c r="N101" s="56" t="s">
        <v>27</v>
      </c>
    </row>
    <row r="102" spans="1:14" s="4" customFormat="1" ht="49.5" customHeight="1" thickBot="1" thickTop="1">
      <c r="A102" s="9"/>
      <c r="B102" s="10"/>
      <c r="C102" s="10"/>
      <c r="D102" s="71" t="s">
        <v>215</v>
      </c>
      <c r="E102" s="72">
        <f>SUM(E3:E101)</f>
        <v>10300128.39</v>
      </c>
      <c r="F102" s="72">
        <f>SUM(F3:F101)</f>
        <v>0</v>
      </c>
      <c r="G102" s="73">
        <f>SUM(G3:G101)</f>
        <v>10300128.39</v>
      </c>
      <c r="H102" s="10"/>
      <c r="I102" s="10"/>
      <c r="J102" s="10"/>
      <c r="K102" s="10"/>
      <c r="L102" s="11"/>
      <c r="M102" s="10"/>
      <c r="N102" s="12"/>
    </row>
    <row r="103" ht="13.5" thickTop="1"/>
    <row r="104" spans="1:14" s="15" customFormat="1" ht="12.75">
      <c r="A104" s="13"/>
      <c r="B104" s="14"/>
      <c r="C104" s="14"/>
      <c r="D104" s="25" t="s">
        <v>313</v>
      </c>
      <c r="E104" s="25"/>
      <c r="F104" s="25"/>
      <c r="G104" s="25"/>
      <c r="K104" s="14"/>
      <c r="L104" s="16"/>
      <c r="M104" s="14"/>
      <c r="N104" s="17"/>
    </row>
    <row r="105" spans="2:13" s="15" customFormat="1" ht="12.75">
      <c r="B105" s="22"/>
      <c r="C105" s="22"/>
      <c r="E105" s="22"/>
      <c r="F105" s="22"/>
      <c r="G105" s="22"/>
      <c r="K105" s="22"/>
      <c r="L105" s="22"/>
      <c r="M105" s="22"/>
    </row>
    <row r="106" spans="1:14" s="15" customFormat="1" ht="12.75">
      <c r="A106" s="20"/>
      <c r="B106" s="24" t="s">
        <v>221</v>
      </c>
      <c r="C106" s="24"/>
      <c r="E106" s="23" t="s">
        <v>222</v>
      </c>
      <c r="F106" s="23"/>
      <c r="G106" s="23"/>
      <c r="K106" s="23" t="s">
        <v>223</v>
      </c>
      <c r="L106" s="23"/>
      <c r="M106" s="23"/>
      <c r="N106" s="19"/>
    </row>
    <row r="107" spans="1:14" s="15" customFormat="1" ht="12.75">
      <c r="A107" s="21"/>
      <c r="B107" s="18" t="s">
        <v>224</v>
      </c>
      <c r="C107" s="18"/>
      <c r="E107" s="18" t="s">
        <v>225</v>
      </c>
      <c r="F107" s="18"/>
      <c r="G107" s="18"/>
      <c r="K107" s="18" t="s">
        <v>226</v>
      </c>
      <c r="L107" s="18"/>
      <c r="M107" s="18"/>
      <c r="N107" s="19"/>
    </row>
  </sheetData>
  <sheetProtection selectLockedCells="1" selectUnlockedCells="1"/>
  <mergeCells count="11">
    <mergeCell ref="B107:C107"/>
    <mergeCell ref="E107:G107"/>
    <mergeCell ref="K107:M107"/>
    <mergeCell ref="A1:N1"/>
    <mergeCell ref="D104:G104"/>
    <mergeCell ref="B105:C105"/>
    <mergeCell ref="E105:G105"/>
    <mergeCell ref="K105:M105"/>
    <mergeCell ref="B106:C106"/>
    <mergeCell ref="E106:G106"/>
    <mergeCell ref="K106:M106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22" max="13" man="1"/>
    <brk id="37" max="13" man="1"/>
    <brk id="6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zoomScalePageLayoutView="0" workbookViewId="0" topLeftCell="A103">
      <selection activeCell="D108" sqref="D108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314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80" t="s">
        <v>315</v>
      </c>
      <c r="C3" s="80" t="s">
        <v>316</v>
      </c>
      <c r="D3" s="80" t="s">
        <v>317</v>
      </c>
      <c r="E3" s="28">
        <v>1063.57</v>
      </c>
      <c r="F3" s="28">
        <v>0</v>
      </c>
      <c r="G3" s="28">
        <f aca="true" t="shared" si="0" ref="G3:G66">E3+F3</f>
        <v>1063.57</v>
      </c>
      <c r="H3" s="64" t="s">
        <v>318</v>
      </c>
      <c r="I3" s="30">
        <f>G3</f>
        <v>1063.57</v>
      </c>
      <c r="J3" s="28">
        <v>0</v>
      </c>
      <c r="K3" s="32">
        <v>38681</v>
      </c>
      <c r="L3" s="32">
        <v>41274</v>
      </c>
      <c r="M3" s="33" t="s">
        <v>319</v>
      </c>
      <c r="N3" s="65" t="s">
        <v>68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10</v>
      </c>
      <c r="D4" s="36" t="s">
        <v>11</v>
      </c>
      <c r="E4" s="37">
        <v>8415</v>
      </c>
      <c r="F4" s="37">
        <v>0</v>
      </c>
      <c r="G4" s="37">
        <f t="shared" si="0"/>
        <v>8415</v>
      </c>
      <c r="H4" s="67" t="s">
        <v>12</v>
      </c>
      <c r="I4" s="45">
        <f>12*8415</f>
        <v>100980</v>
      </c>
      <c r="J4" s="37">
        <f>25245+16830+8415+33660+8415</f>
        <v>92565</v>
      </c>
      <c r="K4" s="41">
        <v>40545</v>
      </c>
      <c r="L4" s="41">
        <v>40908</v>
      </c>
      <c r="M4" s="38" t="s">
        <v>13</v>
      </c>
      <c r="N4" s="68" t="s">
        <v>14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15</v>
      </c>
      <c r="D5" s="36" t="s">
        <v>11</v>
      </c>
      <c r="E5" s="37">
        <v>7150</v>
      </c>
      <c r="F5" s="37">
        <v>0</v>
      </c>
      <c r="G5" s="37">
        <f t="shared" si="0"/>
        <v>7150</v>
      </c>
      <c r="H5" s="66" t="s">
        <v>16</v>
      </c>
      <c r="I5" s="39">
        <f>7150*12</f>
        <v>85800</v>
      </c>
      <c r="J5" s="37">
        <f>21450+14300+7150+28600+7150</f>
        <v>78650</v>
      </c>
      <c r="K5" s="41">
        <v>40545</v>
      </c>
      <c r="L5" s="41">
        <v>40908</v>
      </c>
      <c r="M5" s="38" t="s">
        <v>13</v>
      </c>
      <c r="N5" s="42" t="s">
        <v>14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10</v>
      </c>
      <c r="D6" s="36" t="s">
        <v>11</v>
      </c>
      <c r="E6" s="37">
        <f>33660+16830+8415</f>
        <v>58905</v>
      </c>
      <c r="F6" s="37">
        <v>0</v>
      </c>
      <c r="G6" s="37">
        <f t="shared" si="0"/>
        <v>58905</v>
      </c>
      <c r="H6" s="67" t="s">
        <v>12</v>
      </c>
      <c r="I6" s="45">
        <f>12*8415</f>
        <v>100980</v>
      </c>
      <c r="J6" s="37">
        <v>0</v>
      </c>
      <c r="K6" s="41">
        <v>40910</v>
      </c>
      <c r="L6" s="41">
        <v>41274</v>
      </c>
      <c r="M6" s="38" t="s">
        <v>285</v>
      </c>
      <c r="N6" s="68" t="s">
        <v>14</v>
      </c>
    </row>
    <row r="7" spans="1:14" s="4" customFormat="1" ht="49.5" customHeight="1">
      <c r="A7" s="35">
        <f t="shared" si="1"/>
        <v>5</v>
      </c>
      <c r="B7" s="36" t="s">
        <v>9</v>
      </c>
      <c r="C7" s="36" t="s">
        <v>15</v>
      </c>
      <c r="D7" s="36" t="s">
        <v>11</v>
      </c>
      <c r="E7" s="37">
        <f>28600+14300+7150</f>
        <v>50050</v>
      </c>
      <c r="F7" s="37">
        <v>0</v>
      </c>
      <c r="G7" s="37">
        <f t="shared" si="0"/>
        <v>50050</v>
      </c>
      <c r="H7" s="66" t="s">
        <v>16</v>
      </c>
      <c r="I7" s="39">
        <f>7150*12</f>
        <v>85800</v>
      </c>
      <c r="J7" s="37">
        <v>0</v>
      </c>
      <c r="K7" s="41">
        <v>40910</v>
      </c>
      <c r="L7" s="41">
        <v>41274</v>
      </c>
      <c r="M7" s="38" t="s">
        <v>285</v>
      </c>
      <c r="N7" s="42" t="s">
        <v>14</v>
      </c>
    </row>
    <row r="8" spans="1:14" s="4" customFormat="1" ht="49.5" customHeight="1">
      <c r="A8" s="35">
        <f t="shared" si="1"/>
        <v>6</v>
      </c>
      <c r="B8" s="36" t="s">
        <v>295</v>
      </c>
      <c r="C8" s="36" t="s">
        <v>296</v>
      </c>
      <c r="D8" s="36" t="s">
        <v>297</v>
      </c>
      <c r="E8" s="37">
        <v>20000</v>
      </c>
      <c r="F8" s="37">
        <v>0</v>
      </c>
      <c r="G8" s="37">
        <f t="shared" si="0"/>
        <v>20000</v>
      </c>
      <c r="H8" s="66" t="s">
        <v>298</v>
      </c>
      <c r="I8" s="39">
        <v>20000</v>
      </c>
      <c r="J8" s="37">
        <v>0</v>
      </c>
      <c r="K8" s="41">
        <v>41086</v>
      </c>
      <c r="L8" s="41">
        <v>41274</v>
      </c>
      <c r="M8" s="38" t="s">
        <v>285</v>
      </c>
      <c r="N8" s="42" t="s">
        <v>68</v>
      </c>
    </row>
    <row r="9" spans="1:14" s="4" customFormat="1" ht="49.5" customHeight="1">
      <c r="A9" s="35">
        <f t="shared" si="1"/>
        <v>7</v>
      </c>
      <c r="B9" s="36" t="s">
        <v>17</v>
      </c>
      <c r="C9" s="36" t="s">
        <v>18</v>
      </c>
      <c r="D9" s="36" t="s">
        <v>19</v>
      </c>
      <c r="E9" s="37">
        <v>0</v>
      </c>
      <c r="F9" s="37">
        <v>0</v>
      </c>
      <c r="G9" s="37">
        <f t="shared" si="0"/>
        <v>0</v>
      </c>
      <c r="H9" s="66" t="s">
        <v>20</v>
      </c>
      <c r="I9" s="39">
        <v>2556407.93</v>
      </c>
      <c r="J9" s="39">
        <v>383461.19</v>
      </c>
      <c r="K9" s="41">
        <v>40142</v>
      </c>
      <c r="L9" s="41">
        <v>40872</v>
      </c>
      <c r="M9" s="38" t="s">
        <v>21</v>
      </c>
      <c r="N9" s="42" t="s">
        <v>22</v>
      </c>
    </row>
    <row r="10" spans="1:14" s="4" customFormat="1" ht="49.5" customHeight="1">
      <c r="A10" s="35">
        <f t="shared" si="1"/>
        <v>8</v>
      </c>
      <c r="B10" s="36" t="s">
        <v>17</v>
      </c>
      <c r="C10" s="36" t="s">
        <v>23</v>
      </c>
      <c r="D10" s="36" t="s">
        <v>24</v>
      </c>
      <c r="E10" s="37">
        <f>279227.1+279227.1+279227.1+279227.1+279227.1+325180.33</f>
        <v>1721315.83</v>
      </c>
      <c r="F10" s="37">
        <v>0</v>
      </c>
      <c r="G10" s="37">
        <f t="shared" si="0"/>
        <v>1721315.83</v>
      </c>
      <c r="H10" s="66" t="s">
        <v>25</v>
      </c>
      <c r="I10" s="39">
        <v>2792271</v>
      </c>
      <c r="J10" s="37">
        <f>279227.1+279227.1+279227.1+279227.1+279227.1</f>
        <v>1396135.5</v>
      </c>
      <c r="K10" s="41">
        <v>39995</v>
      </c>
      <c r="L10" s="41">
        <v>41820</v>
      </c>
      <c r="M10" s="38" t="s">
        <v>26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257</v>
      </c>
      <c r="C11" s="36" t="s">
        <v>258</v>
      </c>
      <c r="D11" s="36" t="s">
        <v>259</v>
      </c>
      <c r="E11" s="37">
        <f>196589+196589+196589</f>
        <v>589767</v>
      </c>
      <c r="F11" s="37">
        <v>0</v>
      </c>
      <c r="G11" s="37">
        <f t="shared" si="0"/>
        <v>589767</v>
      </c>
      <c r="H11" s="66" t="s">
        <v>260</v>
      </c>
      <c r="I11" s="39">
        <f>4*196589</f>
        <v>786356</v>
      </c>
      <c r="J11" s="39">
        <v>0</v>
      </c>
      <c r="K11" s="41">
        <v>40957</v>
      </c>
      <c r="L11" s="41">
        <v>41688</v>
      </c>
      <c r="M11" s="38" t="s">
        <v>26</v>
      </c>
      <c r="N11" s="42" t="s">
        <v>68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30</v>
      </c>
      <c r="E12" s="37">
        <v>0</v>
      </c>
      <c r="F12" s="37">
        <v>0</v>
      </c>
      <c r="G12" s="37">
        <f t="shared" si="0"/>
        <v>0</v>
      </c>
      <c r="H12" s="66" t="s">
        <v>31</v>
      </c>
      <c r="I12" s="39">
        <v>273666.94</v>
      </c>
      <c r="J12" s="39">
        <v>273666.94</v>
      </c>
      <c r="K12" s="41">
        <v>40178</v>
      </c>
      <c r="L12" s="41">
        <v>40542</v>
      </c>
      <c r="M12" s="38" t="s">
        <v>32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33</v>
      </c>
      <c r="E13" s="37">
        <v>0</v>
      </c>
      <c r="F13" s="37">
        <v>0</v>
      </c>
      <c r="G13" s="37">
        <f t="shared" si="0"/>
        <v>0</v>
      </c>
      <c r="H13" s="66" t="s">
        <v>34</v>
      </c>
      <c r="I13" s="39">
        <v>1636649.08</v>
      </c>
      <c r="J13" s="39">
        <v>514958.82</v>
      </c>
      <c r="K13" s="41">
        <v>40176</v>
      </c>
      <c r="L13" s="41">
        <v>40722</v>
      </c>
      <c r="M13" s="38" t="s">
        <v>35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36</v>
      </c>
      <c r="E14" s="37">
        <v>0</v>
      </c>
      <c r="F14" s="37">
        <v>0</v>
      </c>
      <c r="G14" s="37">
        <f t="shared" si="0"/>
        <v>0</v>
      </c>
      <c r="H14" s="67" t="s">
        <v>37</v>
      </c>
      <c r="I14" s="45">
        <v>1492263.04</v>
      </c>
      <c r="J14" s="45">
        <v>517381.16</v>
      </c>
      <c r="K14" s="41">
        <v>40176</v>
      </c>
      <c r="L14" s="41">
        <v>40905</v>
      </c>
      <c r="M14" s="38" t="s">
        <v>38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39</v>
      </c>
      <c r="E15" s="37">
        <v>147662.4</v>
      </c>
      <c r="F15" s="37">
        <v>0</v>
      </c>
      <c r="G15" s="37">
        <f t="shared" si="0"/>
        <v>147662.4</v>
      </c>
      <c r="H15" s="66" t="s">
        <v>40</v>
      </c>
      <c r="I15" s="39">
        <v>322420.94</v>
      </c>
      <c r="J15" s="39">
        <v>174758.54</v>
      </c>
      <c r="K15" s="41">
        <v>40176</v>
      </c>
      <c r="L15" s="46">
        <v>40540</v>
      </c>
      <c r="M15" s="38" t="s">
        <v>32</v>
      </c>
      <c r="N15" s="68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41</v>
      </c>
      <c r="E16" s="37">
        <v>0</v>
      </c>
      <c r="F16" s="37">
        <v>0</v>
      </c>
      <c r="G16" s="37">
        <f t="shared" si="0"/>
        <v>0</v>
      </c>
      <c r="H16" s="66" t="s">
        <v>42</v>
      </c>
      <c r="I16" s="39">
        <v>851408.61</v>
      </c>
      <c r="J16" s="39">
        <f>588308.41+263100.2</f>
        <v>851408.6100000001</v>
      </c>
      <c r="K16" s="41">
        <v>38890</v>
      </c>
      <c r="L16" s="41">
        <v>40056</v>
      </c>
      <c r="M16" s="44" t="s">
        <v>26</v>
      </c>
      <c r="N16" s="68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43</v>
      </c>
      <c r="E17" s="37">
        <v>140800</v>
      </c>
      <c r="F17" s="37">
        <v>0</v>
      </c>
      <c r="G17" s="37">
        <f t="shared" si="0"/>
        <v>140800</v>
      </c>
      <c r="H17" s="66" t="s">
        <v>44</v>
      </c>
      <c r="I17" s="39">
        <v>352000</v>
      </c>
      <c r="J17" s="39">
        <v>211200</v>
      </c>
      <c r="K17" s="41">
        <v>39633</v>
      </c>
      <c r="L17" s="79">
        <v>39993</v>
      </c>
      <c r="M17" s="44" t="s">
        <v>35</v>
      </c>
      <c r="N17" s="68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45</v>
      </c>
      <c r="E18" s="37">
        <v>0</v>
      </c>
      <c r="F18" s="37">
        <v>0</v>
      </c>
      <c r="G18" s="37">
        <f t="shared" si="0"/>
        <v>0</v>
      </c>
      <c r="H18" s="66" t="s">
        <v>46</v>
      </c>
      <c r="I18" s="39">
        <v>516646.91</v>
      </c>
      <c r="J18" s="39">
        <v>437114.41</v>
      </c>
      <c r="K18" s="41">
        <v>40536</v>
      </c>
      <c r="L18" s="41">
        <v>40900</v>
      </c>
      <c r="M18" s="44" t="s">
        <v>26</v>
      </c>
      <c r="N18" s="68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47</v>
      </c>
      <c r="E19" s="37">
        <v>0</v>
      </c>
      <c r="F19" s="37">
        <v>0</v>
      </c>
      <c r="G19" s="37">
        <f t="shared" si="0"/>
        <v>0</v>
      </c>
      <c r="H19" s="66" t="s">
        <v>48</v>
      </c>
      <c r="I19" s="39">
        <v>100000</v>
      </c>
      <c r="J19" s="39">
        <v>100000</v>
      </c>
      <c r="K19" s="41">
        <v>40177</v>
      </c>
      <c r="L19" s="41">
        <v>40541</v>
      </c>
      <c r="M19" s="38" t="s">
        <v>32</v>
      </c>
      <c r="N19" s="68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49</v>
      </c>
      <c r="E20" s="37">
        <v>0</v>
      </c>
      <c r="F20" s="37">
        <v>0</v>
      </c>
      <c r="G20" s="37">
        <f t="shared" si="0"/>
        <v>0</v>
      </c>
      <c r="H20" s="66" t="s">
        <v>50</v>
      </c>
      <c r="I20" s="39">
        <v>202569.34</v>
      </c>
      <c r="J20" s="39">
        <v>202569.343</v>
      </c>
      <c r="K20" s="41">
        <v>40542</v>
      </c>
      <c r="L20" s="41">
        <v>40907</v>
      </c>
      <c r="M20" s="38" t="s">
        <v>26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28</v>
      </c>
      <c r="C21" s="36" t="s">
        <v>29</v>
      </c>
      <c r="D21" s="36" t="s">
        <v>51</v>
      </c>
      <c r="E21" s="37">
        <v>182038.38</v>
      </c>
      <c r="F21" s="37">
        <v>0</v>
      </c>
      <c r="G21" s="37">
        <f t="shared" si="0"/>
        <v>182038.38</v>
      </c>
      <c r="H21" s="66" t="s">
        <v>52</v>
      </c>
      <c r="I21" s="39">
        <v>3640767.5</v>
      </c>
      <c r="J21" s="39">
        <v>0</v>
      </c>
      <c r="K21" s="41">
        <v>40542</v>
      </c>
      <c r="L21" s="41">
        <v>42001</v>
      </c>
      <c r="M21" s="38" t="s">
        <v>35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53</v>
      </c>
      <c r="C22" s="36" t="s">
        <v>29</v>
      </c>
      <c r="D22" s="36" t="s">
        <v>54</v>
      </c>
      <c r="E22" s="37">
        <v>771437.88</v>
      </c>
      <c r="F22" s="37">
        <v>0</v>
      </c>
      <c r="G22" s="37">
        <f t="shared" si="0"/>
        <v>771437.88</v>
      </c>
      <c r="H22" s="66" t="s">
        <v>55</v>
      </c>
      <c r="I22" s="39">
        <v>771437.88</v>
      </c>
      <c r="J22" s="39">
        <v>0</v>
      </c>
      <c r="K22" s="41">
        <v>40886</v>
      </c>
      <c r="L22" s="41">
        <v>41617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53</v>
      </c>
      <c r="C23" s="36" t="s">
        <v>29</v>
      </c>
      <c r="D23" s="36" t="s">
        <v>56</v>
      </c>
      <c r="E23" s="37">
        <v>90000</v>
      </c>
      <c r="F23" s="37">
        <v>0</v>
      </c>
      <c r="G23" s="37">
        <f t="shared" si="0"/>
        <v>90000</v>
      </c>
      <c r="H23" s="66" t="s">
        <v>57</v>
      </c>
      <c r="I23" s="39">
        <v>3944386.94</v>
      </c>
      <c r="J23" s="39">
        <v>0</v>
      </c>
      <c r="K23" s="41">
        <v>40904</v>
      </c>
      <c r="L23" s="41">
        <v>42000</v>
      </c>
      <c r="M23" s="38" t="s">
        <v>35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28</v>
      </c>
      <c r="C24" s="36" t="s">
        <v>58</v>
      </c>
      <c r="D24" s="36" t="s">
        <v>59</v>
      </c>
      <c r="E24" s="37">
        <v>0</v>
      </c>
      <c r="F24" s="37">
        <v>0</v>
      </c>
      <c r="G24" s="37">
        <f t="shared" si="0"/>
        <v>0</v>
      </c>
      <c r="H24" s="66" t="s">
        <v>60</v>
      </c>
      <c r="I24" s="39">
        <v>250000</v>
      </c>
      <c r="J24" s="39">
        <v>250000</v>
      </c>
      <c r="K24" s="41">
        <v>40155</v>
      </c>
      <c r="L24" s="46">
        <v>40519</v>
      </c>
      <c r="M24" s="44" t="s">
        <v>26</v>
      </c>
      <c r="N24" s="81" t="s">
        <v>27</v>
      </c>
    </row>
    <row r="25" spans="1:14" s="4" customFormat="1" ht="49.5" customHeight="1">
      <c r="A25" s="35">
        <f t="shared" si="1"/>
        <v>23</v>
      </c>
      <c r="B25" s="36" t="s">
        <v>28</v>
      </c>
      <c r="C25" s="36" t="s">
        <v>58</v>
      </c>
      <c r="D25" s="36" t="s">
        <v>61</v>
      </c>
      <c r="E25" s="37">
        <v>0</v>
      </c>
      <c r="F25" s="37">
        <v>0</v>
      </c>
      <c r="G25" s="37">
        <f t="shared" si="0"/>
        <v>0</v>
      </c>
      <c r="H25" s="67" t="s">
        <v>62</v>
      </c>
      <c r="I25" s="45">
        <v>700000</v>
      </c>
      <c r="J25" s="45">
        <v>486857</v>
      </c>
      <c r="K25" s="41">
        <v>40532</v>
      </c>
      <c r="L25" s="41">
        <v>40711</v>
      </c>
      <c r="M25" s="44" t="s">
        <v>26</v>
      </c>
      <c r="N25" s="68" t="s">
        <v>27</v>
      </c>
    </row>
    <row r="26" spans="1:14" s="4" customFormat="1" ht="49.5" customHeight="1">
      <c r="A26" s="35">
        <f t="shared" si="1"/>
        <v>24</v>
      </c>
      <c r="B26" s="36" t="s">
        <v>28</v>
      </c>
      <c r="C26" s="36" t="s">
        <v>58</v>
      </c>
      <c r="D26" s="36" t="s">
        <v>261</v>
      </c>
      <c r="E26" s="37">
        <v>200000</v>
      </c>
      <c r="F26" s="37">
        <v>0</v>
      </c>
      <c r="G26" s="37">
        <f t="shared" si="0"/>
        <v>200000</v>
      </c>
      <c r="H26" s="67" t="s">
        <v>262</v>
      </c>
      <c r="I26" s="45">
        <v>200000</v>
      </c>
      <c r="J26" s="45">
        <v>0</v>
      </c>
      <c r="K26" s="41">
        <v>41018</v>
      </c>
      <c r="L26" s="41">
        <v>41378</v>
      </c>
      <c r="M26" s="44" t="s">
        <v>26</v>
      </c>
      <c r="N26" s="68" t="s">
        <v>27</v>
      </c>
    </row>
    <row r="27" spans="1:14" s="4" customFormat="1" ht="49.5" customHeight="1">
      <c r="A27" s="35">
        <f t="shared" si="1"/>
        <v>25</v>
      </c>
      <c r="B27" s="36" t="s">
        <v>274</v>
      </c>
      <c r="C27" s="36" t="s">
        <v>275</v>
      </c>
      <c r="D27" s="36" t="s">
        <v>276</v>
      </c>
      <c r="E27" s="37">
        <v>330000</v>
      </c>
      <c r="F27" s="37">
        <v>0</v>
      </c>
      <c r="G27" s="37">
        <f t="shared" si="0"/>
        <v>330000</v>
      </c>
      <c r="H27" s="67" t="s">
        <v>277</v>
      </c>
      <c r="I27" s="45">
        <v>330000</v>
      </c>
      <c r="J27" s="45">
        <v>0</v>
      </c>
      <c r="K27" s="41">
        <v>41019</v>
      </c>
      <c r="L27" s="41">
        <v>41229</v>
      </c>
      <c r="M27" s="44" t="s">
        <v>26</v>
      </c>
      <c r="N27" s="68" t="s">
        <v>68</v>
      </c>
    </row>
    <row r="28" spans="1:14" s="4" customFormat="1" ht="49.5" customHeight="1">
      <c r="A28" s="35">
        <f t="shared" si="1"/>
        <v>26</v>
      </c>
      <c r="B28" s="36" t="s">
        <v>63</v>
      </c>
      <c r="C28" s="36" t="s">
        <v>64</v>
      </c>
      <c r="D28" s="36" t="s">
        <v>65</v>
      </c>
      <c r="E28" s="37">
        <f>47533.89+15844.63+15844.63</f>
        <v>79223.15</v>
      </c>
      <c r="F28" s="37">
        <v>0</v>
      </c>
      <c r="G28" s="37">
        <f t="shared" si="0"/>
        <v>79223.15</v>
      </c>
      <c r="H28" s="66" t="s">
        <v>264</v>
      </c>
      <c r="I28" s="39">
        <v>47533.89</v>
      </c>
      <c r="J28" s="39">
        <v>47533.89</v>
      </c>
      <c r="K28" s="41">
        <v>39814</v>
      </c>
      <c r="L28" s="41" t="s">
        <v>67</v>
      </c>
      <c r="M28" s="38" t="s">
        <v>26</v>
      </c>
      <c r="N28" s="42" t="s">
        <v>68</v>
      </c>
    </row>
    <row r="29" spans="1:14" s="4" customFormat="1" ht="49.5" customHeight="1">
      <c r="A29" s="35">
        <f t="shared" si="1"/>
        <v>27</v>
      </c>
      <c r="B29" s="36" t="s">
        <v>63</v>
      </c>
      <c r="C29" s="36" t="s">
        <v>64</v>
      </c>
      <c r="D29" s="36" t="s">
        <v>69</v>
      </c>
      <c r="E29" s="37">
        <v>0</v>
      </c>
      <c r="F29" s="37">
        <v>0</v>
      </c>
      <c r="G29" s="37">
        <f t="shared" si="0"/>
        <v>0</v>
      </c>
      <c r="H29" s="66" t="s">
        <v>264</v>
      </c>
      <c r="I29" s="39">
        <f>2880+6720</f>
        <v>9600</v>
      </c>
      <c r="J29" s="39">
        <f>7600+2000</f>
        <v>9600</v>
      </c>
      <c r="K29" s="41">
        <v>40303</v>
      </c>
      <c r="L29" s="41" t="s">
        <v>67</v>
      </c>
      <c r="M29" s="38" t="s">
        <v>26</v>
      </c>
      <c r="N29" s="42" t="s">
        <v>68</v>
      </c>
    </row>
    <row r="30" spans="1:14" s="4" customFormat="1" ht="49.5" customHeight="1">
      <c r="A30" s="35">
        <f t="shared" si="1"/>
        <v>28</v>
      </c>
      <c r="B30" s="36" t="s">
        <v>63</v>
      </c>
      <c r="C30" s="36" t="s">
        <v>64</v>
      </c>
      <c r="D30" s="36" t="s">
        <v>263</v>
      </c>
      <c r="E30" s="37">
        <f>1281.93+4497.1</f>
        <v>5779.030000000001</v>
      </c>
      <c r="F30" s="37">
        <v>0</v>
      </c>
      <c r="G30" s="37">
        <f t="shared" si="0"/>
        <v>5779.030000000001</v>
      </c>
      <c r="H30" s="66" t="s">
        <v>264</v>
      </c>
      <c r="I30" s="39">
        <v>5779.03</v>
      </c>
      <c r="J30" s="39">
        <v>0</v>
      </c>
      <c r="K30" s="41">
        <v>39600</v>
      </c>
      <c r="L30" s="41">
        <v>41274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63</v>
      </c>
      <c r="C31" s="36" t="s">
        <v>70</v>
      </c>
      <c r="D31" s="36" t="s">
        <v>71</v>
      </c>
      <c r="E31" s="37">
        <v>0</v>
      </c>
      <c r="F31" s="37">
        <v>0</v>
      </c>
      <c r="G31" s="37">
        <f t="shared" si="0"/>
        <v>0</v>
      </c>
      <c r="H31" s="66" t="s">
        <v>72</v>
      </c>
      <c r="I31" s="39">
        <v>70000</v>
      </c>
      <c r="J31" s="39">
        <v>70000</v>
      </c>
      <c r="K31" s="41">
        <v>40540</v>
      </c>
      <c r="L31" s="41">
        <v>40724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63</v>
      </c>
      <c r="C32" s="36" t="s">
        <v>70</v>
      </c>
      <c r="D32" s="36" t="s">
        <v>73</v>
      </c>
      <c r="E32" s="37">
        <v>0</v>
      </c>
      <c r="F32" s="37">
        <v>0</v>
      </c>
      <c r="G32" s="37">
        <f t="shared" si="0"/>
        <v>0</v>
      </c>
      <c r="H32" s="66" t="s">
        <v>74</v>
      </c>
      <c r="I32" s="39">
        <v>60000</v>
      </c>
      <c r="J32" s="39">
        <v>60000</v>
      </c>
      <c r="K32" s="41">
        <v>40540</v>
      </c>
      <c r="L32" s="41">
        <v>40724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63</v>
      </c>
      <c r="C33" s="36" t="s">
        <v>75</v>
      </c>
      <c r="D33" s="36" t="s">
        <v>76</v>
      </c>
      <c r="E33" s="37">
        <v>0</v>
      </c>
      <c r="F33" s="37">
        <v>0</v>
      </c>
      <c r="G33" s="37">
        <f t="shared" si="0"/>
        <v>0</v>
      </c>
      <c r="H33" s="66" t="s">
        <v>77</v>
      </c>
      <c r="I33" s="39">
        <v>630000</v>
      </c>
      <c r="J33" s="39">
        <v>630000</v>
      </c>
      <c r="K33" s="41">
        <v>40599</v>
      </c>
      <c r="L33" s="41">
        <v>40908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75</v>
      </c>
      <c r="D34" s="36" t="s">
        <v>78</v>
      </c>
      <c r="E34" s="37">
        <v>105000</v>
      </c>
      <c r="F34" s="37">
        <v>0</v>
      </c>
      <c r="G34" s="37">
        <f t="shared" si="0"/>
        <v>105000</v>
      </c>
      <c r="H34" s="66" t="s">
        <v>79</v>
      </c>
      <c r="I34" s="39">
        <v>630000</v>
      </c>
      <c r="J34" s="39">
        <v>525000</v>
      </c>
      <c r="K34" s="41">
        <v>40751</v>
      </c>
      <c r="L34" s="41">
        <v>40908</v>
      </c>
      <c r="M34" s="38" t="s">
        <v>26</v>
      </c>
      <c r="N34" s="42" t="s">
        <v>68</v>
      </c>
    </row>
    <row r="35" spans="1:14" s="4" customFormat="1" ht="49.5" customHeight="1">
      <c r="A35" s="35">
        <f t="shared" si="1"/>
        <v>33</v>
      </c>
      <c r="B35" s="36" t="s">
        <v>63</v>
      </c>
      <c r="C35" s="36" t="s">
        <v>75</v>
      </c>
      <c r="D35" s="36" t="s">
        <v>265</v>
      </c>
      <c r="E35" s="37">
        <f>105000+105000+105000</f>
        <v>315000</v>
      </c>
      <c r="F35" s="37">
        <v>0</v>
      </c>
      <c r="G35" s="37">
        <f t="shared" si="0"/>
        <v>315000</v>
      </c>
      <c r="H35" s="66" t="s">
        <v>266</v>
      </c>
      <c r="I35" s="39">
        <v>315000</v>
      </c>
      <c r="J35" s="39">
        <v>0</v>
      </c>
      <c r="K35" s="41">
        <v>40977</v>
      </c>
      <c r="L35" s="41">
        <v>41271</v>
      </c>
      <c r="M35" s="38" t="s">
        <v>26</v>
      </c>
      <c r="N35" s="42" t="s">
        <v>68</v>
      </c>
    </row>
    <row r="36" spans="1:14" s="4" customFormat="1" ht="49.5" customHeight="1">
      <c r="A36" s="35">
        <f t="shared" si="1"/>
        <v>34</v>
      </c>
      <c r="B36" s="36" t="s">
        <v>63</v>
      </c>
      <c r="C36" s="36" t="s">
        <v>70</v>
      </c>
      <c r="D36" s="36" t="s">
        <v>299</v>
      </c>
      <c r="E36" s="37">
        <v>200000</v>
      </c>
      <c r="F36" s="37">
        <v>0</v>
      </c>
      <c r="G36" s="37">
        <f t="shared" si="0"/>
        <v>200000</v>
      </c>
      <c r="H36" s="66" t="s">
        <v>300</v>
      </c>
      <c r="I36" s="39">
        <v>200000</v>
      </c>
      <c r="J36" s="39">
        <v>0</v>
      </c>
      <c r="K36" s="41">
        <v>41086</v>
      </c>
      <c r="L36" s="41">
        <v>41271</v>
      </c>
      <c r="M36" s="38" t="s">
        <v>26</v>
      </c>
      <c r="N36" s="42" t="s">
        <v>68</v>
      </c>
    </row>
    <row r="37" spans="1:14" s="4" customFormat="1" ht="49.5" customHeight="1">
      <c r="A37" s="35">
        <f t="shared" si="1"/>
        <v>35</v>
      </c>
      <c r="B37" s="36" t="s">
        <v>63</v>
      </c>
      <c r="C37" s="36" t="s">
        <v>301</v>
      </c>
      <c r="D37" s="36" t="s">
        <v>302</v>
      </c>
      <c r="E37" s="37">
        <v>360000</v>
      </c>
      <c r="F37" s="37">
        <v>0</v>
      </c>
      <c r="G37" s="37">
        <f t="shared" si="0"/>
        <v>360000</v>
      </c>
      <c r="H37" s="66" t="s">
        <v>303</v>
      </c>
      <c r="I37" s="39">
        <v>400000</v>
      </c>
      <c r="J37" s="39">
        <v>0</v>
      </c>
      <c r="K37" s="41">
        <v>41087</v>
      </c>
      <c r="L37" s="41">
        <v>41271</v>
      </c>
      <c r="M37" s="38" t="s">
        <v>26</v>
      </c>
      <c r="N37" s="42" t="s">
        <v>68</v>
      </c>
    </row>
    <row r="38" spans="1:14" s="4" customFormat="1" ht="49.5" customHeight="1">
      <c r="A38" s="35">
        <f t="shared" si="1"/>
        <v>36</v>
      </c>
      <c r="B38" s="36" t="s">
        <v>63</v>
      </c>
      <c r="C38" s="36" t="s">
        <v>75</v>
      </c>
      <c r="D38" s="36" t="s">
        <v>320</v>
      </c>
      <c r="E38" s="37">
        <v>420000</v>
      </c>
      <c r="F38" s="37">
        <v>0</v>
      </c>
      <c r="G38" s="37">
        <f t="shared" si="0"/>
        <v>420000</v>
      </c>
      <c r="H38" s="66" t="s">
        <v>321</v>
      </c>
      <c r="I38" s="39">
        <v>945000</v>
      </c>
      <c r="J38" s="39">
        <v>0</v>
      </c>
      <c r="K38" s="41">
        <v>41081</v>
      </c>
      <c r="L38" s="41">
        <v>41271</v>
      </c>
      <c r="M38" s="38" t="s">
        <v>26</v>
      </c>
      <c r="N38" s="42" t="s">
        <v>68</v>
      </c>
    </row>
    <row r="39" spans="1:14" s="4" customFormat="1" ht="49.5" customHeight="1">
      <c r="A39" s="35">
        <f t="shared" si="1"/>
        <v>37</v>
      </c>
      <c r="B39" s="36" t="s">
        <v>80</v>
      </c>
      <c r="C39" s="36" t="s">
        <v>81</v>
      </c>
      <c r="D39" s="36" t="s">
        <v>82</v>
      </c>
      <c r="E39" s="37">
        <v>0</v>
      </c>
      <c r="F39" s="37">
        <v>0</v>
      </c>
      <c r="G39" s="37">
        <f t="shared" si="0"/>
        <v>0</v>
      </c>
      <c r="H39" s="66" t="s">
        <v>83</v>
      </c>
      <c r="I39" s="39">
        <v>126000</v>
      </c>
      <c r="J39" s="39">
        <f>66036+47363</f>
        <v>113399</v>
      </c>
      <c r="K39" s="41">
        <v>39071</v>
      </c>
      <c r="L39" s="79" t="s">
        <v>84</v>
      </c>
      <c r="M39" s="38" t="s">
        <v>26</v>
      </c>
      <c r="N39" s="42" t="s">
        <v>27</v>
      </c>
    </row>
    <row r="40" spans="1:14" s="4" customFormat="1" ht="49.5" customHeight="1">
      <c r="A40" s="35">
        <f t="shared" si="1"/>
        <v>38</v>
      </c>
      <c r="B40" s="36" t="s">
        <v>85</v>
      </c>
      <c r="C40" s="36" t="s">
        <v>86</v>
      </c>
      <c r="D40" s="36" t="s">
        <v>87</v>
      </c>
      <c r="E40" s="37">
        <f>8732.91+45419.87+16466.7+27317.93+17214.98+10475.5</f>
        <v>125627.89</v>
      </c>
      <c r="F40" s="37">
        <v>0</v>
      </c>
      <c r="G40" s="37">
        <f t="shared" si="0"/>
        <v>125627.89</v>
      </c>
      <c r="H40" s="67" t="s">
        <v>88</v>
      </c>
      <c r="I40" s="45">
        <v>85000</v>
      </c>
      <c r="J40" s="45">
        <v>0</v>
      </c>
      <c r="K40" s="41">
        <v>38611</v>
      </c>
      <c r="L40" s="41" t="s">
        <v>67</v>
      </c>
      <c r="M40" s="41" t="s">
        <v>26</v>
      </c>
      <c r="N40" s="68" t="s">
        <v>27</v>
      </c>
    </row>
    <row r="41" spans="1:14" s="4" customFormat="1" ht="49.5" customHeight="1">
      <c r="A41" s="35">
        <f t="shared" si="1"/>
        <v>39</v>
      </c>
      <c r="B41" s="36" t="s">
        <v>89</v>
      </c>
      <c r="C41" s="36" t="s">
        <v>90</v>
      </c>
      <c r="D41" s="36" t="s">
        <v>91</v>
      </c>
      <c r="E41" s="39">
        <v>0</v>
      </c>
      <c r="F41" s="37">
        <v>0</v>
      </c>
      <c r="G41" s="37">
        <f t="shared" si="0"/>
        <v>0</v>
      </c>
      <c r="H41" s="67" t="s">
        <v>92</v>
      </c>
      <c r="I41" s="45">
        <v>292500</v>
      </c>
      <c r="J41" s="45">
        <v>292500</v>
      </c>
      <c r="K41" s="41">
        <v>40350</v>
      </c>
      <c r="L41" s="41">
        <v>40775</v>
      </c>
      <c r="M41" s="41" t="s">
        <v>26</v>
      </c>
      <c r="N41" s="68" t="s">
        <v>27</v>
      </c>
    </row>
    <row r="42" spans="1:14" s="4" customFormat="1" ht="49.5" customHeight="1">
      <c r="A42" s="35">
        <f t="shared" si="1"/>
        <v>40</v>
      </c>
      <c r="B42" s="36" t="s">
        <v>89</v>
      </c>
      <c r="C42" s="36" t="s">
        <v>322</v>
      </c>
      <c r="D42" s="36" t="s">
        <v>323</v>
      </c>
      <c r="E42" s="39">
        <v>292500</v>
      </c>
      <c r="F42" s="37">
        <v>0</v>
      </c>
      <c r="G42" s="37">
        <f t="shared" si="0"/>
        <v>292500</v>
      </c>
      <c r="H42" s="67" t="s">
        <v>324</v>
      </c>
      <c r="I42" s="45">
        <v>292500</v>
      </c>
      <c r="J42" s="45">
        <v>0</v>
      </c>
      <c r="K42" s="41">
        <v>41061</v>
      </c>
      <c r="L42" s="41">
        <v>41274</v>
      </c>
      <c r="M42" s="41" t="s">
        <v>26</v>
      </c>
      <c r="N42" s="68" t="s">
        <v>27</v>
      </c>
    </row>
    <row r="43" spans="1:15" s="7" customFormat="1" ht="49.5" customHeight="1">
      <c r="A43" s="35">
        <f t="shared" si="1"/>
        <v>41</v>
      </c>
      <c r="B43" s="36" t="s">
        <v>93</v>
      </c>
      <c r="C43" s="36" t="s">
        <v>94</v>
      </c>
      <c r="D43" s="36" t="s">
        <v>95</v>
      </c>
      <c r="E43" s="37">
        <f>179904+359808+179904+205932+205932</f>
        <v>1131480</v>
      </c>
      <c r="F43" s="37">
        <v>0</v>
      </c>
      <c r="G43" s="37">
        <f t="shared" si="0"/>
        <v>1131480</v>
      </c>
      <c r="H43" s="66" t="s">
        <v>96</v>
      </c>
      <c r="I43" s="39">
        <v>1803960</v>
      </c>
      <c r="J43" s="39">
        <v>0</v>
      </c>
      <c r="K43" s="41">
        <v>40544</v>
      </c>
      <c r="L43" s="41">
        <v>40908</v>
      </c>
      <c r="M43" s="41" t="s">
        <v>26</v>
      </c>
      <c r="N43" s="81" t="s">
        <v>68</v>
      </c>
      <c r="O43" s="4"/>
    </row>
    <row r="44" spans="1:15" s="7" customFormat="1" ht="49.5" customHeight="1">
      <c r="A44" s="35">
        <f t="shared" si="1"/>
        <v>42</v>
      </c>
      <c r="B44" s="36" t="s">
        <v>93</v>
      </c>
      <c r="C44" s="36" t="s">
        <v>97</v>
      </c>
      <c r="D44" s="36" t="s">
        <v>97</v>
      </c>
      <c r="E44" s="37">
        <f>49674.78+13.72+24823.67+24837.39</f>
        <v>99349.56</v>
      </c>
      <c r="F44" s="37">
        <v>0</v>
      </c>
      <c r="G44" s="37">
        <f t="shared" si="0"/>
        <v>99349.56</v>
      </c>
      <c r="H44" s="66" t="s">
        <v>98</v>
      </c>
      <c r="I44" s="39">
        <v>232427</v>
      </c>
      <c r="J44" s="39">
        <v>0</v>
      </c>
      <c r="K44" s="41">
        <v>40544</v>
      </c>
      <c r="L44" s="41">
        <v>40908</v>
      </c>
      <c r="M44" s="41" t="s">
        <v>26</v>
      </c>
      <c r="N44" s="81" t="s">
        <v>68</v>
      </c>
      <c r="O44" s="4"/>
    </row>
    <row r="45" spans="1:15" s="7" customFormat="1" ht="49.5" customHeight="1">
      <c r="A45" s="35">
        <f t="shared" si="1"/>
        <v>43</v>
      </c>
      <c r="B45" s="36" t="s">
        <v>93</v>
      </c>
      <c r="C45" s="36" t="s">
        <v>99</v>
      </c>
      <c r="D45" s="36" t="s">
        <v>100</v>
      </c>
      <c r="E45" s="37">
        <f>605.5+563</f>
        <v>1168.5</v>
      </c>
      <c r="F45" s="37">
        <v>0</v>
      </c>
      <c r="G45" s="37">
        <f t="shared" si="0"/>
        <v>1168.5</v>
      </c>
      <c r="H45" s="66" t="s">
        <v>101</v>
      </c>
      <c r="I45" s="39">
        <v>12756.3</v>
      </c>
      <c r="J45" s="39">
        <v>12756.3</v>
      </c>
      <c r="K45" s="41">
        <v>40544</v>
      </c>
      <c r="L45" s="41">
        <v>40908</v>
      </c>
      <c r="M45" s="44" t="s">
        <v>26</v>
      </c>
      <c r="N45" s="81" t="s">
        <v>68</v>
      </c>
      <c r="O45" s="4"/>
    </row>
    <row r="46" spans="1:15" s="7" customFormat="1" ht="49.5" customHeight="1">
      <c r="A46" s="35">
        <f t="shared" si="1"/>
        <v>44</v>
      </c>
      <c r="B46" s="36" t="s">
        <v>93</v>
      </c>
      <c r="C46" s="36" t="s">
        <v>102</v>
      </c>
      <c r="D46" s="36" t="s">
        <v>103</v>
      </c>
      <c r="E46" s="37">
        <v>8077.13</v>
      </c>
      <c r="F46" s="37">
        <v>0</v>
      </c>
      <c r="G46" s="37">
        <f t="shared" si="0"/>
        <v>8077.13</v>
      </c>
      <c r="H46" s="66" t="s">
        <v>104</v>
      </c>
      <c r="I46" s="39">
        <v>10750</v>
      </c>
      <c r="J46" s="39">
        <v>0</v>
      </c>
      <c r="K46" s="41">
        <v>40070</v>
      </c>
      <c r="L46" s="41" t="s">
        <v>67</v>
      </c>
      <c r="M46" s="44" t="s">
        <v>26</v>
      </c>
      <c r="N46" s="68" t="s">
        <v>27</v>
      </c>
      <c r="O46" s="4"/>
    </row>
    <row r="47" spans="1:15" s="7" customFormat="1" ht="49.5" customHeight="1">
      <c r="A47" s="35">
        <f t="shared" si="1"/>
        <v>45</v>
      </c>
      <c r="B47" s="36" t="s">
        <v>93</v>
      </c>
      <c r="C47" s="36" t="s">
        <v>105</v>
      </c>
      <c r="D47" s="36" t="s">
        <v>106</v>
      </c>
      <c r="E47" s="47">
        <v>0</v>
      </c>
      <c r="F47" s="37">
        <v>0</v>
      </c>
      <c r="G47" s="37">
        <f t="shared" si="0"/>
        <v>0</v>
      </c>
      <c r="H47" s="66" t="s">
        <v>107</v>
      </c>
      <c r="I47" s="39">
        <v>1276275.58</v>
      </c>
      <c r="J47" s="39">
        <v>255255.12</v>
      </c>
      <c r="K47" s="41">
        <v>40725</v>
      </c>
      <c r="L47" s="41">
        <v>41274</v>
      </c>
      <c r="M47" s="44" t="s">
        <v>26</v>
      </c>
      <c r="N47" s="68" t="s">
        <v>27</v>
      </c>
      <c r="O47" s="4"/>
    </row>
    <row r="48" spans="1:15" s="7" customFormat="1" ht="49.5" customHeight="1">
      <c r="A48" s="35">
        <f t="shared" si="1"/>
        <v>46</v>
      </c>
      <c r="B48" s="36" t="s">
        <v>93</v>
      </c>
      <c r="C48" s="36" t="s">
        <v>105</v>
      </c>
      <c r="D48" s="36" t="s">
        <v>108</v>
      </c>
      <c r="E48" s="47">
        <v>0</v>
      </c>
      <c r="F48" s="37">
        <v>0</v>
      </c>
      <c r="G48" s="37">
        <f t="shared" si="0"/>
        <v>0</v>
      </c>
      <c r="H48" s="66" t="s">
        <v>109</v>
      </c>
      <c r="I48" s="39">
        <v>1316838.4</v>
      </c>
      <c r="J48" s="39">
        <v>263367.68</v>
      </c>
      <c r="K48" s="41">
        <v>40544</v>
      </c>
      <c r="L48" s="41">
        <v>41274</v>
      </c>
      <c r="M48" s="44" t="s">
        <v>26</v>
      </c>
      <c r="N48" s="68" t="s">
        <v>27</v>
      </c>
      <c r="O48" s="4"/>
    </row>
    <row r="49" spans="1:15" s="7" customFormat="1" ht="49.5" customHeight="1">
      <c r="A49" s="35">
        <f t="shared" si="1"/>
        <v>47</v>
      </c>
      <c r="B49" s="36" t="s">
        <v>93</v>
      </c>
      <c r="C49" s="36" t="s">
        <v>228</v>
      </c>
      <c r="D49" s="36" t="s">
        <v>229</v>
      </c>
      <c r="E49" s="47">
        <f>96359.9+144539.86</f>
        <v>240899.75999999998</v>
      </c>
      <c r="F49" s="37">
        <v>0</v>
      </c>
      <c r="G49" s="37">
        <f t="shared" si="0"/>
        <v>240899.75999999998</v>
      </c>
      <c r="H49" s="66" t="s">
        <v>230</v>
      </c>
      <c r="I49" s="39">
        <v>481799.52</v>
      </c>
      <c r="J49" s="39">
        <v>0</v>
      </c>
      <c r="K49" s="41">
        <v>40725</v>
      </c>
      <c r="L49" s="41">
        <v>41274</v>
      </c>
      <c r="M49" s="44" t="s">
        <v>26</v>
      </c>
      <c r="N49" s="68" t="s">
        <v>27</v>
      </c>
      <c r="O49" s="4"/>
    </row>
    <row r="50" spans="1:15" s="7" customFormat="1" ht="49.5" customHeight="1">
      <c r="A50" s="35">
        <f t="shared" si="1"/>
        <v>48</v>
      </c>
      <c r="B50" s="36" t="s">
        <v>93</v>
      </c>
      <c r="C50" s="36" t="s">
        <v>110</v>
      </c>
      <c r="D50" s="36" t="s">
        <v>111</v>
      </c>
      <c r="E50" s="47">
        <v>214740</v>
      </c>
      <c r="F50" s="37">
        <v>0</v>
      </c>
      <c r="G50" s="37">
        <f t="shared" si="0"/>
        <v>214740</v>
      </c>
      <c r="H50" s="66" t="s">
        <v>112</v>
      </c>
      <c r="I50" s="39">
        <v>644220</v>
      </c>
      <c r="J50" s="39">
        <v>0</v>
      </c>
      <c r="K50" s="41">
        <v>40909</v>
      </c>
      <c r="L50" s="41">
        <v>41639</v>
      </c>
      <c r="M50" s="44" t="s">
        <v>113</v>
      </c>
      <c r="N50" s="68" t="s">
        <v>27</v>
      </c>
      <c r="O50" s="4"/>
    </row>
    <row r="51" spans="1:15" s="7" customFormat="1" ht="49.5" customHeight="1">
      <c r="A51" s="35">
        <f t="shared" si="1"/>
        <v>49</v>
      </c>
      <c r="B51" s="36" t="s">
        <v>93</v>
      </c>
      <c r="C51" s="36" t="s">
        <v>267</v>
      </c>
      <c r="D51" s="36" t="s">
        <v>268</v>
      </c>
      <c r="E51" s="47">
        <v>396871.2</v>
      </c>
      <c r="F51" s="37">
        <v>0</v>
      </c>
      <c r="G51" s="37">
        <f t="shared" si="0"/>
        <v>396871.2</v>
      </c>
      <c r="H51" s="66" t="s">
        <v>269</v>
      </c>
      <c r="I51" s="39">
        <v>0</v>
      </c>
      <c r="J51" s="39">
        <v>0</v>
      </c>
      <c r="K51" s="41">
        <v>40909</v>
      </c>
      <c r="L51" s="41">
        <v>41274</v>
      </c>
      <c r="M51" s="41" t="s">
        <v>26</v>
      </c>
      <c r="N51" s="68" t="s">
        <v>68</v>
      </c>
      <c r="O51" s="4"/>
    </row>
    <row r="52" spans="1:15" s="7" customFormat="1" ht="49.5" customHeight="1">
      <c r="A52" s="35">
        <f t="shared" si="1"/>
        <v>50</v>
      </c>
      <c r="B52" s="36" t="s">
        <v>114</v>
      </c>
      <c r="C52" s="36" t="s">
        <v>115</v>
      </c>
      <c r="D52" s="36" t="s">
        <v>116</v>
      </c>
      <c r="E52" s="37">
        <v>0</v>
      </c>
      <c r="F52" s="37">
        <v>0</v>
      </c>
      <c r="G52" s="37">
        <f t="shared" si="0"/>
        <v>0</v>
      </c>
      <c r="H52" s="66" t="s">
        <v>117</v>
      </c>
      <c r="I52" s="39">
        <v>120000</v>
      </c>
      <c r="J52" s="39">
        <v>120000</v>
      </c>
      <c r="K52" s="41">
        <v>39626</v>
      </c>
      <c r="L52" s="41">
        <v>40629</v>
      </c>
      <c r="M52" s="41" t="s">
        <v>26</v>
      </c>
      <c r="N52" s="81" t="s">
        <v>27</v>
      </c>
      <c r="O52" s="4"/>
    </row>
    <row r="53" spans="1:15" s="7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119</v>
      </c>
      <c r="E53" s="37">
        <v>27319.22</v>
      </c>
      <c r="F53" s="37">
        <v>0</v>
      </c>
      <c r="G53" s="37">
        <f t="shared" si="0"/>
        <v>27319.22</v>
      </c>
      <c r="H53" s="66" t="s">
        <v>120</v>
      </c>
      <c r="I53" s="39">
        <v>50000</v>
      </c>
      <c r="J53" s="39">
        <v>27218.1</v>
      </c>
      <c r="K53" s="41">
        <v>40179</v>
      </c>
      <c r="L53" s="41" t="s">
        <v>67</v>
      </c>
      <c r="M53" s="44" t="s">
        <v>121</v>
      </c>
      <c r="N53" s="81" t="s">
        <v>27</v>
      </c>
      <c r="O53" s="4"/>
    </row>
    <row r="54" spans="1:15" s="7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242</v>
      </c>
      <c r="E54" s="37">
        <f>6284.79+5879.32+5879.32+5879.32+6082.05+8665.02</f>
        <v>38669.82</v>
      </c>
      <c r="F54" s="37">
        <v>0</v>
      </c>
      <c r="G54" s="37">
        <f t="shared" si="0"/>
        <v>38669.82</v>
      </c>
      <c r="H54" s="66" t="s">
        <v>120</v>
      </c>
      <c r="I54" s="39">
        <v>50000</v>
      </c>
      <c r="J54" s="39">
        <v>27218.1</v>
      </c>
      <c r="K54" s="41">
        <v>40179</v>
      </c>
      <c r="L54" s="41" t="s">
        <v>67</v>
      </c>
      <c r="M54" s="44" t="s">
        <v>121</v>
      </c>
      <c r="N54" s="81" t="s">
        <v>27</v>
      </c>
      <c r="O54" s="4"/>
    </row>
    <row r="55" spans="1:15" s="7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122</v>
      </c>
      <c r="E55" s="37">
        <v>0</v>
      </c>
      <c r="F55" s="37">
        <v>0</v>
      </c>
      <c r="G55" s="37">
        <f t="shared" si="0"/>
        <v>0</v>
      </c>
      <c r="H55" s="66" t="s">
        <v>123</v>
      </c>
      <c r="I55" s="39">
        <v>2950</v>
      </c>
      <c r="J55" s="39">
        <v>2950</v>
      </c>
      <c r="K55" s="41">
        <v>40118</v>
      </c>
      <c r="L55" s="41" t="s">
        <v>67</v>
      </c>
      <c r="M55" s="44" t="s">
        <v>26</v>
      </c>
      <c r="N55" s="81" t="s">
        <v>27</v>
      </c>
      <c r="O55" s="4"/>
    </row>
    <row r="56" spans="1:15" s="7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124</v>
      </c>
      <c r="E56" s="37">
        <v>0</v>
      </c>
      <c r="F56" s="37">
        <v>0</v>
      </c>
      <c r="G56" s="37">
        <f t="shared" si="0"/>
        <v>0</v>
      </c>
      <c r="H56" s="66" t="s">
        <v>123</v>
      </c>
      <c r="I56" s="39">
        <v>900</v>
      </c>
      <c r="J56" s="39">
        <v>925</v>
      </c>
      <c r="K56" s="41">
        <v>40179</v>
      </c>
      <c r="L56" s="41" t="s">
        <v>67</v>
      </c>
      <c r="M56" s="44" t="s">
        <v>26</v>
      </c>
      <c r="N56" s="81" t="s">
        <v>27</v>
      </c>
      <c r="O56" s="4"/>
    </row>
    <row r="57" spans="1:15" s="7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125</v>
      </c>
      <c r="E57" s="37">
        <v>9000</v>
      </c>
      <c r="F57" s="37">
        <v>0</v>
      </c>
      <c r="G57" s="37">
        <f t="shared" si="0"/>
        <v>9000</v>
      </c>
      <c r="H57" s="66" t="s">
        <v>126</v>
      </c>
      <c r="I57" s="39">
        <v>108000</v>
      </c>
      <c r="J57" s="39">
        <v>99000</v>
      </c>
      <c r="K57" s="41">
        <v>40544</v>
      </c>
      <c r="L57" s="41" t="s">
        <v>67</v>
      </c>
      <c r="M57" s="44" t="s">
        <v>26</v>
      </c>
      <c r="N57" s="81" t="s">
        <v>27</v>
      </c>
      <c r="O57" s="4"/>
    </row>
    <row r="58" spans="1:15" s="7" customFormat="1" ht="49.5" customHeight="1">
      <c r="A58" s="35">
        <f t="shared" si="1"/>
        <v>56</v>
      </c>
      <c r="B58" s="36" t="s">
        <v>118</v>
      </c>
      <c r="C58" s="36" t="s">
        <v>10</v>
      </c>
      <c r="D58" s="36" t="s">
        <v>243</v>
      </c>
      <c r="E58" s="37">
        <f>9000+9000+9000+9000+9000+27000+18000</f>
        <v>90000</v>
      </c>
      <c r="F58" s="37">
        <v>0</v>
      </c>
      <c r="G58" s="37">
        <f t="shared" si="0"/>
        <v>90000</v>
      </c>
      <c r="H58" s="66" t="s">
        <v>126</v>
      </c>
      <c r="I58" s="39">
        <v>108000</v>
      </c>
      <c r="J58" s="39">
        <v>0</v>
      </c>
      <c r="K58" s="41">
        <v>40544</v>
      </c>
      <c r="L58" s="41" t="s">
        <v>67</v>
      </c>
      <c r="M58" s="44" t="s">
        <v>26</v>
      </c>
      <c r="N58" s="81" t="s">
        <v>27</v>
      </c>
      <c r="O58" s="4"/>
    </row>
    <row r="59" spans="1:15" s="7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127</v>
      </c>
      <c r="E59" s="37">
        <v>0</v>
      </c>
      <c r="F59" s="37">
        <v>0</v>
      </c>
      <c r="G59" s="37">
        <f t="shared" si="0"/>
        <v>0</v>
      </c>
      <c r="H59" s="66" t="s">
        <v>128</v>
      </c>
      <c r="I59" s="39">
        <v>6000</v>
      </c>
      <c r="J59" s="39">
        <v>6000</v>
      </c>
      <c r="K59" s="41">
        <v>39814</v>
      </c>
      <c r="L59" s="41" t="s">
        <v>67</v>
      </c>
      <c r="M59" s="44" t="s">
        <v>26</v>
      </c>
      <c r="N59" s="81" t="s">
        <v>27</v>
      </c>
      <c r="O59" s="4"/>
    </row>
    <row r="60" spans="1:15" s="7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244</v>
      </c>
      <c r="E60" s="37">
        <v>8793</v>
      </c>
      <c r="F60" s="37">
        <v>0</v>
      </c>
      <c r="G60" s="37">
        <f t="shared" si="0"/>
        <v>8793</v>
      </c>
      <c r="H60" s="66" t="s">
        <v>130</v>
      </c>
      <c r="I60" s="39">
        <v>60300</v>
      </c>
      <c r="J60" s="39">
        <v>50561.25</v>
      </c>
      <c r="K60" s="41" t="s">
        <v>131</v>
      </c>
      <c r="L60" s="41" t="s">
        <v>67</v>
      </c>
      <c r="M60" s="44" t="s">
        <v>26</v>
      </c>
      <c r="N60" s="81" t="s">
        <v>27</v>
      </c>
      <c r="O60" s="4"/>
    </row>
    <row r="61" spans="1:15" s="7" customFormat="1" ht="49.5" customHeight="1">
      <c r="A61" s="35">
        <f t="shared" si="1"/>
        <v>59</v>
      </c>
      <c r="B61" s="36" t="s">
        <v>118</v>
      </c>
      <c r="C61" s="36" t="s">
        <v>10</v>
      </c>
      <c r="D61" s="36" t="s">
        <v>245</v>
      </c>
      <c r="E61" s="37">
        <f>5025+5025+5025+2512.5+2512.5</f>
        <v>20100</v>
      </c>
      <c r="F61" s="37">
        <v>0</v>
      </c>
      <c r="G61" s="37">
        <f t="shared" si="0"/>
        <v>20100</v>
      </c>
      <c r="H61" s="66" t="s">
        <v>130</v>
      </c>
      <c r="I61" s="39">
        <v>60300</v>
      </c>
      <c r="J61" s="39">
        <v>0</v>
      </c>
      <c r="K61" s="41" t="s">
        <v>131</v>
      </c>
      <c r="L61" s="41" t="s">
        <v>67</v>
      </c>
      <c r="M61" s="44" t="s">
        <v>26</v>
      </c>
      <c r="N61" s="81" t="s">
        <v>27</v>
      </c>
      <c r="O61" s="4"/>
    </row>
    <row r="62" spans="1:14" s="4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132</v>
      </c>
      <c r="E62" s="37">
        <f>1000</f>
        <v>1000</v>
      </c>
      <c r="F62" s="37">
        <v>0</v>
      </c>
      <c r="G62" s="37">
        <f t="shared" si="0"/>
        <v>1000</v>
      </c>
      <c r="H62" s="66" t="s">
        <v>133</v>
      </c>
      <c r="I62" s="39">
        <v>12000</v>
      </c>
      <c r="J62" s="39">
        <v>11000</v>
      </c>
      <c r="K62" s="41">
        <v>40544</v>
      </c>
      <c r="L62" s="41" t="s">
        <v>67</v>
      </c>
      <c r="M62" s="44" t="s">
        <v>26</v>
      </c>
      <c r="N62" s="81" t="s">
        <v>27</v>
      </c>
    </row>
    <row r="63" spans="1:14" s="4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246</v>
      </c>
      <c r="E63" s="37">
        <f>1000+1000+1000+1000+1000+1000+1000</f>
        <v>7000</v>
      </c>
      <c r="F63" s="37">
        <v>0</v>
      </c>
      <c r="G63" s="37">
        <f t="shared" si="0"/>
        <v>7000</v>
      </c>
      <c r="H63" s="66" t="s">
        <v>133</v>
      </c>
      <c r="I63" s="39">
        <v>12000</v>
      </c>
      <c r="J63" s="39">
        <v>0</v>
      </c>
      <c r="K63" s="41">
        <v>40544</v>
      </c>
      <c r="L63" s="41" t="s">
        <v>67</v>
      </c>
      <c r="M63" s="44" t="s">
        <v>26</v>
      </c>
      <c r="N63" s="81" t="s">
        <v>27</v>
      </c>
    </row>
    <row r="64" spans="1:14" s="4" customFormat="1" ht="49.5" customHeight="1">
      <c r="A64" s="35">
        <f t="shared" si="1"/>
        <v>62</v>
      </c>
      <c r="B64" s="36" t="s">
        <v>118</v>
      </c>
      <c r="C64" s="36" t="s">
        <v>15</v>
      </c>
      <c r="D64" s="36" t="s">
        <v>134</v>
      </c>
      <c r="E64" s="37">
        <f>9000+9000+9000+9000+9000+9000+9000</f>
        <v>63000</v>
      </c>
      <c r="F64" s="37">
        <v>0</v>
      </c>
      <c r="G64" s="37">
        <f t="shared" si="0"/>
        <v>63000</v>
      </c>
      <c r="H64" s="66" t="s">
        <v>135</v>
      </c>
      <c r="I64" s="39">
        <v>108000</v>
      </c>
      <c r="J64" s="39">
        <v>0</v>
      </c>
      <c r="K64" s="41">
        <v>40544</v>
      </c>
      <c r="L64" s="41" t="s">
        <v>67</v>
      </c>
      <c r="M64" s="44" t="s">
        <v>26</v>
      </c>
      <c r="N64" s="81" t="s">
        <v>27</v>
      </c>
    </row>
    <row r="65" spans="1:14" s="4" customFormat="1" ht="49.5" customHeight="1">
      <c r="A65" s="35">
        <f t="shared" si="1"/>
        <v>63</v>
      </c>
      <c r="B65" s="36" t="s">
        <v>118</v>
      </c>
      <c r="C65" s="36" t="s">
        <v>15</v>
      </c>
      <c r="D65" s="36" t="s">
        <v>247</v>
      </c>
      <c r="E65" s="37">
        <f>12500+14700+14700+14700+14700+14700</f>
        <v>86000</v>
      </c>
      <c r="F65" s="37">
        <v>0</v>
      </c>
      <c r="G65" s="37">
        <f t="shared" si="0"/>
        <v>86000</v>
      </c>
      <c r="H65" s="66" t="s">
        <v>137</v>
      </c>
      <c r="I65" s="39">
        <f>12500*12</f>
        <v>150000</v>
      </c>
      <c r="J65" s="39">
        <v>0</v>
      </c>
      <c r="K65" s="41">
        <v>40544</v>
      </c>
      <c r="L65" s="41" t="s">
        <v>67</v>
      </c>
      <c r="M65" s="44" t="s">
        <v>26</v>
      </c>
      <c r="N65" s="81" t="s">
        <v>27</v>
      </c>
    </row>
    <row r="66" spans="1:14" s="4" customFormat="1" ht="49.5" customHeight="1">
      <c r="A66" s="35">
        <f t="shared" si="1"/>
        <v>64</v>
      </c>
      <c r="B66" s="36" t="s">
        <v>118</v>
      </c>
      <c r="C66" s="36" t="s">
        <v>15</v>
      </c>
      <c r="D66" s="36" t="s">
        <v>136</v>
      </c>
      <c r="E66" s="37">
        <v>10300</v>
      </c>
      <c r="F66" s="37">
        <v>0</v>
      </c>
      <c r="G66" s="37">
        <f t="shared" si="0"/>
        <v>10300</v>
      </c>
      <c r="H66" s="66" t="s">
        <v>137</v>
      </c>
      <c r="I66" s="39">
        <f>10300*12</f>
        <v>123600</v>
      </c>
      <c r="J66" s="39">
        <v>113300</v>
      </c>
      <c r="K66" s="41">
        <v>40544</v>
      </c>
      <c r="L66" s="41" t="s">
        <v>67</v>
      </c>
      <c r="M66" s="44" t="s">
        <v>26</v>
      </c>
      <c r="N66" s="81" t="s">
        <v>27</v>
      </c>
    </row>
    <row r="67" spans="1:14" s="4" customFormat="1" ht="49.5" customHeight="1">
      <c r="A67" s="35">
        <f t="shared" si="1"/>
        <v>65</v>
      </c>
      <c r="B67" s="36" t="s">
        <v>118</v>
      </c>
      <c r="C67" s="36" t="s">
        <v>15</v>
      </c>
      <c r="D67" s="36" t="s">
        <v>138</v>
      </c>
      <c r="E67" s="37">
        <v>2200</v>
      </c>
      <c r="F67" s="37">
        <v>0</v>
      </c>
      <c r="G67" s="37">
        <f aca="true" t="shared" si="2" ref="G67:G104">E67+F67</f>
        <v>2200</v>
      </c>
      <c r="H67" s="66" t="s">
        <v>139</v>
      </c>
      <c r="I67" s="39">
        <v>26400</v>
      </c>
      <c r="J67" s="39">
        <f>11*2200</f>
        <v>24200</v>
      </c>
      <c r="K67" s="41">
        <v>40544</v>
      </c>
      <c r="L67" s="41" t="s">
        <v>67</v>
      </c>
      <c r="M67" s="44" t="s">
        <v>26</v>
      </c>
      <c r="N67" s="81" t="s">
        <v>27</v>
      </c>
    </row>
    <row r="68" spans="1:14" s="4" customFormat="1" ht="49.5" customHeight="1">
      <c r="A68" s="35">
        <f aca="true" t="shared" si="3" ref="A68:A104">A67+1</f>
        <v>66</v>
      </c>
      <c r="B68" s="36" t="s">
        <v>118</v>
      </c>
      <c r="C68" s="36" t="s">
        <v>15</v>
      </c>
      <c r="D68" s="36" t="s">
        <v>140</v>
      </c>
      <c r="E68" s="37">
        <f>2835</f>
        <v>2835</v>
      </c>
      <c r="F68" s="37">
        <v>0</v>
      </c>
      <c r="G68" s="37">
        <f t="shared" si="2"/>
        <v>2835</v>
      </c>
      <c r="H68" s="66" t="s">
        <v>141</v>
      </c>
      <c r="I68" s="39">
        <v>34020</v>
      </c>
      <c r="J68" s="39">
        <f>11*2835</f>
        <v>31185</v>
      </c>
      <c r="K68" s="41">
        <v>40544</v>
      </c>
      <c r="L68" s="41" t="s">
        <v>67</v>
      </c>
      <c r="M68" s="44" t="s">
        <v>26</v>
      </c>
      <c r="N68" s="81" t="s">
        <v>27</v>
      </c>
    </row>
    <row r="69" spans="1:14" s="4" customFormat="1" ht="49.5" customHeight="1">
      <c r="A69" s="35">
        <f t="shared" si="3"/>
        <v>67</v>
      </c>
      <c r="B69" s="36" t="s">
        <v>118</v>
      </c>
      <c r="C69" s="36" t="s">
        <v>15</v>
      </c>
      <c r="D69" s="36" t="s">
        <v>248</v>
      </c>
      <c r="E69" s="37">
        <f>2835+2835+2835+2835+2835+5670</f>
        <v>19845</v>
      </c>
      <c r="F69" s="37">
        <v>0</v>
      </c>
      <c r="G69" s="37">
        <f t="shared" si="2"/>
        <v>19845</v>
      </c>
      <c r="H69" s="66" t="s">
        <v>141</v>
      </c>
      <c r="I69" s="39">
        <v>34020</v>
      </c>
      <c r="J69" s="39">
        <v>0</v>
      </c>
      <c r="K69" s="41">
        <v>40544</v>
      </c>
      <c r="L69" s="41" t="s">
        <v>67</v>
      </c>
      <c r="M69" s="44" t="s">
        <v>26</v>
      </c>
      <c r="N69" s="81" t="s">
        <v>27</v>
      </c>
    </row>
    <row r="70" spans="1:14" s="4" customFormat="1" ht="49.5" customHeight="1">
      <c r="A70" s="35">
        <f t="shared" si="3"/>
        <v>68</v>
      </c>
      <c r="B70" s="36" t="s">
        <v>118</v>
      </c>
      <c r="C70" s="36" t="s">
        <v>15</v>
      </c>
      <c r="D70" s="36" t="s">
        <v>234</v>
      </c>
      <c r="E70" s="37">
        <v>0</v>
      </c>
      <c r="F70" s="37">
        <v>0</v>
      </c>
      <c r="G70" s="37">
        <f t="shared" si="2"/>
        <v>0</v>
      </c>
      <c r="H70" s="66" t="s">
        <v>143</v>
      </c>
      <c r="I70" s="39">
        <v>12000</v>
      </c>
      <c r="J70" s="39">
        <v>1000</v>
      </c>
      <c r="K70" s="41">
        <v>40544</v>
      </c>
      <c r="L70" s="41" t="s">
        <v>67</v>
      </c>
      <c r="M70" s="44" t="s">
        <v>26</v>
      </c>
      <c r="N70" s="81" t="s">
        <v>27</v>
      </c>
    </row>
    <row r="71" spans="1:14" s="4" customFormat="1" ht="49.5" customHeight="1">
      <c r="A71" s="35">
        <f t="shared" si="3"/>
        <v>69</v>
      </c>
      <c r="B71" s="36" t="s">
        <v>118</v>
      </c>
      <c r="C71" s="36" t="s">
        <v>10</v>
      </c>
      <c r="D71" s="36" t="s">
        <v>144</v>
      </c>
      <c r="E71" s="37">
        <f>1903.88+1903.88</f>
        <v>3807.76</v>
      </c>
      <c r="F71" s="37">
        <v>0</v>
      </c>
      <c r="G71" s="37">
        <f t="shared" si="2"/>
        <v>3807.76</v>
      </c>
      <c r="H71" s="66" t="s">
        <v>145</v>
      </c>
      <c r="I71" s="39">
        <v>11450</v>
      </c>
      <c r="J71" s="39">
        <v>0</v>
      </c>
      <c r="K71" s="41">
        <v>40544</v>
      </c>
      <c r="L71" s="41" t="s">
        <v>67</v>
      </c>
      <c r="M71" s="44" t="s">
        <v>26</v>
      </c>
      <c r="N71" s="81" t="s">
        <v>27</v>
      </c>
    </row>
    <row r="72" spans="1:14" s="4" customFormat="1" ht="49.5" customHeight="1">
      <c r="A72" s="35">
        <f t="shared" si="3"/>
        <v>70</v>
      </c>
      <c r="B72" s="36" t="s">
        <v>118</v>
      </c>
      <c r="C72" s="36" t="s">
        <v>10</v>
      </c>
      <c r="D72" s="36" t="s">
        <v>249</v>
      </c>
      <c r="E72" s="37">
        <f>1113.57+1113.57+1113.57+1113.57+3017.45+1113.57+999.86</f>
        <v>9585.16</v>
      </c>
      <c r="F72" s="37">
        <v>0</v>
      </c>
      <c r="G72" s="37">
        <f t="shared" si="2"/>
        <v>9585.16</v>
      </c>
      <c r="H72" s="66" t="s">
        <v>145</v>
      </c>
      <c r="I72" s="39">
        <v>11450</v>
      </c>
      <c r="J72" s="39">
        <v>0</v>
      </c>
      <c r="K72" s="41">
        <v>40544</v>
      </c>
      <c r="L72" s="41" t="s">
        <v>67</v>
      </c>
      <c r="M72" s="44" t="s">
        <v>26</v>
      </c>
      <c r="N72" s="81" t="s">
        <v>27</v>
      </c>
    </row>
    <row r="73" spans="1:14" s="4" customFormat="1" ht="49.5" customHeight="1">
      <c r="A73" s="35">
        <f t="shared" si="3"/>
        <v>71</v>
      </c>
      <c r="B73" s="36" t="s">
        <v>118</v>
      </c>
      <c r="C73" s="36" t="s">
        <v>146</v>
      </c>
      <c r="D73" s="36" t="s">
        <v>147</v>
      </c>
      <c r="E73" s="37">
        <v>0</v>
      </c>
      <c r="F73" s="37">
        <v>0</v>
      </c>
      <c r="G73" s="37">
        <f t="shared" si="2"/>
        <v>0</v>
      </c>
      <c r="H73" s="66" t="s">
        <v>148</v>
      </c>
      <c r="I73" s="39">
        <v>480000</v>
      </c>
      <c r="J73" s="39">
        <v>480000</v>
      </c>
      <c r="K73" s="41">
        <v>40141</v>
      </c>
      <c r="L73" s="41">
        <v>41049</v>
      </c>
      <c r="M73" s="44" t="s">
        <v>26</v>
      </c>
      <c r="N73" s="81" t="s">
        <v>27</v>
      </c>
    </row>
    <row r="74" spans="1:14" s="4" customFormat="1" ht="49.5" customHeight="1">
      <c r="A74" s="35">
        <f t="shared" si="3"/>
        <v>72</v>
      </c>
      <c r="B74" s="36" t="s">
        <v>149</v>
      </c>
      <c r="C74" s="36" t="s">
        <v>150</v>
      </c>
      <c r="D74" s="36" t="s">
        <v>151</v>
      </c>
      <c r="E74" s="37">
        <v>0</v>
      </c>
      <c r="F74" s="37">
        <v>0</v>
      </c>
      <c r="G74" s="37">
        <f t="shared" si="2"/>
        <v>0</v>
      </c>
      <c r="H74" s="66" t="s">
        <v>152</v>
      </c>
      <c r="I74" s="39">
        <v>1800000</v>
      </c>
      <c r="J74" s="39">
        <v>1080000</v>
      </c>
      <c r="K74" s="41">
        <v>40638</v>
      </c>
      <c r="L74" s="41">
        <v>41002</v>
      </c>
      <c r="M74" s="44" t="s">
        <v>26</v>
      </c>
      <c r="N74" s="68" t="s">
        <v>68</v>
      </c>
    </row>
    <row r="75" spans="1:14" s="4" customFormat="1" ht="49.5" customHeight="1">
      <c r="A75" s="35">
        <f t="shared" si="3"/>
        <v>73</v>
      </c>
      <c r="B75" s="36" t="s">
        <v>153</v>
      </c>
      <c r="C75" s="36" t="s">
        <v>154</v>
      </c>
      <c r="D75" s="36" t="s">
        <v>155</v>
      </c>
      <c r="E75" s="37">
        <v>0</v>
      </c>
      <c r="F75" s="37">
        <v>0</v>
      </c>
      <c r="G75" s="37">
        <f t="shared" si="2"/>
        <v>0</v>
      </c>
      <c r="H75" s="66" t="s">
        <v>156</v>
      </c>
      <c r="I75" s="39">
        <v>5860725</v>
      </c>
      <c r="J75" s="39">
        <v>5860725</v>
      </c>
      <c r="K75" s="41">
        <v>38884</v>
      </c>
      <c r="L75" s="41">
        <v>40451</v>
      </c>
      <c r="M75" s="44" t="s">
        <v>26</v>
      </c>
      <c r="N75" s="81" t="s">
        <v>27</v>
      </c>
    </row>
    <row r="76" spans="1:14" s="4" customFormat="1" ht="49.5" customHeight="1">
      <c r="A76" s="35">
        <f t="shared" si="3"/>
        <v>74</v>
      </c>
      <c r="B76" s="36" t="s">
        <v>153</v>
      </c>
      <c r="C76" s="36" t="s">
        <v>154</v>
      </c>
      <c r="D76" s="36" t="s">
        <v>157</v>
      </c>
      <c r="E76" s="37">
        <f>723449.59+353122.79+112433.15+134435.75+243087.79</f>
        <v>1566529.0699999998</v>
      </c>
      <c r="F76" s="37">
        <v>0</v>
      </c>
      <c r="G76" s="37">
        <f t="shared" si="2"/>
        <v>1566529.0699999998</v>
      </c>
      <c r="H76" s="66" t="s">
        <v>158</v>
      </c>
      <c r="I76" s="39">
        <v>4900000</v>
      </c>
      <c r="J76" s="39">
        <f>571422.36+2000142.18</f>
        <v>2571564.54</v>
      </c>
      <c r="K76" s="41">
        <v>39447</v>
      </c>
      <c r="L76" s="41">
        <v>40482</v>
      </c>
      <c r="M76" s="44" t="s">
        <v>159</v>
      </c>
      <c r="N76" s="81" t="s">
        <v>27</v>
      </c>
    </row>
    <row r="77" spans="1:14" s="4" customFormat="1" ht="49.5" customHeight="1">
      <c r="A77" s="35">
        <f t="shared" si="3"/>
        <v>75</v>
      </c>
      <c r="B77" s="36" t="s">
        <v>153</v>
      </c>
      <c r="C77" s="36" t="s">
        <v>154</v>
      </c>
      <c r="D77" s="36" t="s">
        <v>160</v>
      </c>
      <c r="E77" s="37">
        <v>0</v>
      </c>
      <c r="F77" s="37">
        <v>0</v>
      </c>
      <c r="G77" s="37">
        <f t="shared" si="2"/>
        <v>0</v>
      </c>
      <c r="H77" s="66" t="s">
        <v>161</v>
      </c>
      <c r="I77" s="39">
        <v>8195570</v>
      </c>
      <c r="J77" s="39">
        <f>827000+110901.25+287371.7</f>
        <v>1225272.95</v>
      </c>
      <c r="K77" s="41">
        <v>39447</v>
      </c>
      <c r="L77" s="41">
        <v>40471</v>
      </c>
      <c r="M77" s="44" t="s">
        <v>159</v>
      </c>
      <c r="N77" s="81" t="s">
        <v>27</v>
      </c>
    </row>
    <row r="78" spans="1:14" s="4" customFormat="1" ht="49.5" customHeight="1">
      <c r="A78" s="35">
        <f t="shared" si="3"/>
        <v>76</v>
      </c>
      <c r="B78" s="36" t="s">
        <v>153</v>
      </c>
      <c r="C78" s="36" t="s">
        <v>162</v>
      </c>
      <c r="D78" s="36" t="s">
        <v>163</v>
      </c>
      <c r="E78" s="37">
        <v>0</v>
      </c>
      <c r="F78" s="37">
        <v>0</v>
      </c>
      <c r="G78" s="37">
        <f t="shared" si="2"/>
        <v>0</v>
      </c>
      <c r="H78" s="66" t="s">
        <v>164</v>
      </c>
      <c r="I78" s="39">
        <v>394200</v>
      </c>
      <c r="J78" s="39">
        <v>394200</v>
      </c>
      <c r="K78" s="41">
        <v>40528</v>
      </c>
      <c r="L78" s="41">
        <v>41455</v>
      </c>
      <c r="M78" s="44" t="s">
        <v>26</v>
      </c>
      <c r="N78" s="81" t="s">
        <v>27</v>
      </c>
    </row>
    <row r="79" spans="1:14" s="4" customFormat="1" ht="49.5" customHeight="1">
      <c r="A79" s="35">
        <f t="shared" si="3"/>
        <v>77</v>
      </c>
      <c r="B79" s="36" t="s">
        <v>153</v>
      </c>
      <c r="C79" s="36" t="s">
        <v>162</v>
      </c>
      <c r="D79" s="36" t="s">
        <v>165</v>
      </c>
      <c r="E79" s="37">
        <v>57311.33</v>
      </c>
      <c r="F79" s="37">
        <v>0</v>
      </c>
      <c r="G79" s="37">
        <f t="shared" si="2"/>
        <v>57311.33</v>
      </c>
      <c r="H79" s="66" t="s">
        <v>166</v>
      </c>
      <c r="I79" s="39">
        <v>255740</v>
      </c>
      <c r="J79" s="39">
        <v>86491.27</v>
      </c>
      <c r="K79" s="41">
        <v>40528</v>
      </c>
      <c r="L79" s="41">
        <v>41455</v>
      </c>
      <c r="M79" s="44" t="s">
        <v>26</v>
      </c>
      <c r="N79" s="81" t="s">
        <v>27</v>
      </c>
    </row>
    <row r="80" spans="1:14" s="4" customFormat="1" ht="49.5" customHeight="1">
      <c r="A80" s="35">
        <f t="shared" si="3"/>
        <v>78</v>
      </c>
      <c r="B80" s="36" t="s">
        <v>153</v>
      </c>
      <c r="C80" s="36" t="s">
        <v>162</v>
      </c>
      <c r="D80" s="36" t="s">
        <v>167</v>
      </c>
      <c r="E80" s="37">
        <v>0</v>
      </c>
      <c r="F80" s="37">
        <v>0</v>
      </c>
      <c r="G80" s="37">
        <f t="shared" si="2"/>
        <v>0</v>
      </c>
      <c r="H80" s="66" t="s">
        <v>168</v>
      </c>
      <c r="I80" s="39">
        <v>295300</v>
      </c>
      <c r="J80" s="39">
        <v>103414.06</v>
      </c>
      <c r="K80" s="41">
        <v>40528</v>
      </c>
      <c r="L80" s="41">
        <v>41455</v>
      </c>
      <c r="M80" s="44" t="s">
        <v>26</v>
      </c>
      <c r="N80" s="81" t="s">
        <v>27</v>
      </c>
    </row>
    <row r="81" spans="1:14" s="4" customFormat="1" ht="49.5" customHeight="1">
      <c r="A81" s="35">
        <f t="shared" si="3"/>
        <v>79</v>
      </c>
      <c r="B81" s="36" t="s">
        <v>153</v>
      </c>
      <c r="C81" s="36" t="s">
        <v>162</v>
      </c>
      <c r="D81" s="36" t="s">
        <v>169</v>
      </c>
      <c r="E81" s="37">
        <v>0</v>
      </c>
      <c r="F81" s="37">
        <v>0</v>
      </c>
      <c r="G81" s="37">
        <f t="shared" si="2"/>
        <v>0</v>
      </c>
      <c r="H81" s="66" t="s">
        <v>170</v>
      </c>
      <c r="I81" s="39">
        <v>245850</v>
      </c>
      <c r="J81" s="39">
        <v>85383.7</v>
      </c>
      <c r="K81" s="41">
        <v>40528</v>
      </c>
      <c r="L81" s="41">
        <v>41455</v>
      </c>
      <c r="M81" s="44" t="s">
        <v>26</v>
      </c>
      <c r="N81" s="81" t="s">
        <v>27</v>
      </c>
    </row>
    <row r="82" spans="1:14" s="4" customFormat="1" ht="49.5" customHeight="1">
      <c r="A82" s="35">
        <f t="shared" si="3"/>
        <v>80</v>
      </c>
      <c r="B82" s="36" t="s">
        <v>153</v>
      </c>
      <c r="C82" s="36" t="s">
        <v>304</v>
      </c>
      <c r="D82" s="36" t="s">
        <v>305</v>
      </c>
      <c r="E82" s="37">
        <v>200000</v>
      </c>
      <c r="F82" s="37">
        <v>0</v>
      </c>
      <c r="G82" s="37">
        <f t="shared" si="2"/>
        <v>200000</v>
      </c>
      <c r="H82" s="66" t="s">
        <v>306</v>
      </c>
      <c r="I82" s="39">
        <v>400000</v>
      </c>
      <c r="J82" s="39">
        <v>0</v>
      </c>
      <c r="K82" s="41">
        <v>40529</v>
      </c>
      <c r="L82" s="41">
        <v>41273</v>
      </c>
      <c r="M82" s="44" t="s">
        <v>26</v>
      </c>
      <c r="N82" s="81" t="s">
        <v>27</v>
      </c>
    </row>
    <row r="83" spans="1:14" s="4" customFormat="1" ht="49.5" customHeight="1">
      <c r="A83" s="35">
        <f t="shared" si="3"/>
        <v>81</v>
      </c>
      <c r="B83" s="36" t="s">
        <v>171</v>
      </c>
      <c r="C83" s="36" t="s">
        <v>172</v>
      </c>
      <c r="D83" s="36" t="s">
        <v>173</v>
      </c>
      <c r="E83" s="37">
        <v>0</v>
      </c>
      <c r="F83" s="37">
        <v>0</v>
      </c>
      <c r="G83" s="37">
        <f t="shared" si="2"/>
        <v>0</v>
      </c>
      <c r="H83" s="66" t="s">
        <v>174</v>
      </c>
      <c r="I83" s="39">
        <v>97500</v>
      </c>
      <c r="J83" s="39">
        <v>48750</v>
      </c>
      <c r="K83" s="41">
        <v>40057</v>
      </c>
      <c r="L83" s="41">
        <v>40452</v>
      </c>
      <c r="M83" s="44" t="s">
        <v>26</v>
      </c>
      <c r="N83" s="81" t="s">
        <v>27</v>
      </c>
    </row>
    <row r="84" spans="1:14" s="4" customFormat="1" ht="49.5" customHeight="1">
      <c r="A84" s="35">
        <f t="shared" si="3"/>
        <v>82</v>
      </c>
      <c r="B84" s="36" t="s">
        <v>175</v>
      </c>
      <c r="C84" s="36" t="s">
        <v>176</v>
      </c>
      <c r="D84" s="36" t="s">
        <v>177</v>
      </c>
      <c r="E84" s="37">
        <v>0</v>
      </c>
      <c r="F84" s="37">
        <v>0</v>
      </c>
      <c r="G84" s="37">
        <f t="shared" si="2"/>
        <v>0</v>
      </c>
      <c r="H84" s="66" t="s">
        <v>178</v>
      </c>
      <c r="I84" s="39">
        <v>146250</v>
      </c>
      <c r="J84" s="39">
        <v>146250</v>
      </c>
      <c r="K84" s="41">
        <v>39812</v>
      </c>
      <c r="L84" s="41">
        <v>40663</v>
      </c>
      <c r="M84" s="44" t="s">
        <v>26</v>
      </c>
      <c r="N84" s="81" t="s">
        <v>27</v>
      </c>
    </row>
    <row r="85" spans="1:14" s="4" customFormat="1" ht="49.5" customHeight="1">
      <c r="A85" s="35">
        <f t="shared" si="3"/>
        <v>83</v>
      </c>
      <c r="B85" s="36" t="s">
        <v>175</v>
      </c>
      <c r="C85" s="36" t="s">
        <v>176</v>
      </c>
      <c r="D85" s="36" t="s">
        <v>179</v>
      </c>
      <c r="E85" s="37">
        <v>0</v>
      </c>
      <c r="F85" s="37">
        <v>0</v>
      </c>
      <c r="G85" s="37">
        <f t="shared" si="2"/>
        <v>0</v>
      </c>
      <c r="H85" s="66" t="s">
        <v>180</v>
      </c>
      <c r="I85" s="39">
        <v>254104.34</v>
      </c>
      <c r="J85" s="39">
        <v>254104.34</v>
      </c>
      <c r="K85" s="41">
        <v>40361</v>
      </c>
      <c r="L85" s="41">
        <v>40723</v>
      </c>
      <c r="M85" s="44" t="s">
        <v>26</v>
      </c>
      <c r="N85" s="81" t="s">
        <v>27</v>
      </c>
    </row>
    <row r="86" spans="1:14" s="4" customFormat="1" ht="49.5" customHeight="1">
      <c r="A86" s="35">
        <f t="shared" si="3"/>
        <v>84</v>
      </c>
      <c r="B86" s="36" t="s">
        <v>181</v>
      </c>
      <c r="C86" s="36" t="s">
        <v>182</v>
      </c>
      <c r="D86" s="36" t="s">
        <v>236</v>
      </c>
      <c r="E86" s="37">
        <v>24192.64</v>
      </c>
      <c r="F86" s="37">
        <v>0</v>
      </c>
      <c r="G86" s="37">
        <f t="shared" si="2"/>
        <v>24192.64</v>
      </c>
      <c r="H86" s="66" t="s">
        <v>307</v>
      </c>
      <c r="I86" s="39">
        <v>72000</v>
      </c>
      <c r="J86" s="39">
        <v>71997.99</v>
      </c>
      <c r="K86" s="41">
        <v>40544</v>
      </c>
      <c r="L86" s="41" t="s">
        <v>67</v>
      </c>
      <c r="M86" s="44" t="s">
        <v>26</v>
      </c>
      <c r="N86" s="81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36" t="s">
        <v>185</v>
      </c>
      <c r="D87" s="36" t="s">
        <v>237</v>
      </c>
      <c r="E87" s="37">
        <f>25000+25000</f>
        <v>50000</v>
      </c>
      <c r="F87" s="37">
        <v>0</v>
      </c>
      <c r="G87" s="37">
        <f t="shared" si="2"/>
        <v>50000</v>
      </c>
      <c r="H87" s="66" t="s">
        <v>308</v>
      </c>
      <c r="I87" s="39">
        <v>105000</v>
      </c>
      <c r="J87" s="39">
        <v>82954.57</v>
      </c>
      <c r="K87" s="41">
        <v>40544</v>
      </c>
      <c r="L87" s="41" t="s">
        <v>67</v>
      </c>
      <c r="M87" s="44" t="s">
        <v>26</v>
      </c>
      <c r="N87" s="81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36" t="s">
        <v>188</v>
      </c>
      <c r="D88" s="36" t="s">
        <v>189</v>
      </c>
      <c r="E88" s="37">
        <v>500000</v>
      </c>
      <c r="F88" s="37">
        <v>0</v>
      </c>
      <c r="G88" s="37">
        <f t="shared" si="2"/>
        <v>500000</v>
      </c>
      <c r="H88" s="66" t="s">
        <v>309</v>
      </c>
      <c r="I88" s="39">
        <v>2000000</v>
      </c>
      <c r="J88" s="39">
        <f>200000+1300000</f>
        <v>1500000</v>
      </c>
      <c r="K88" s="41">
        <v>40057</v>
      </c>
      <c r="L88" s="41" t="s">
        <v>67</v>
      </c>
      <c r="M88" s="44" t="s">
        <v>26</v>
      </c>
      <c r="N88" s="81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36" t="s">
        <v>191</v>
      </c>
      <c r="D89" s="36" t="s">
        <v>250</v>
      </c>
      <c r="E89" s="37">
        <f>8800+17600+8800+8800+8800+8800+8800+8800</f>
        <v>79200</v>
      </c>
      <c r="F89" s="37">
        <v>0</v>
      </c>
      <c r="G89" s="37">
        <f t="shared" si="2"/>
        <v>79200</v>
      </c>
      <c r="H89" s="66" t="s">
        <v>310</v>
      </c>
      <c r="I89" s="39">
        <v>105600</v>
      </c>
      <c r="J89" s="39">
        <v>88000</v>
      </c>
      <c r="K89" s="41">
        <v>40544</v>
      </c>
      <c r="L89" s="41" t="s">
        <v>67</v>
      </c>
      <c r="M89" s="44" t="s">
        <v>26</v>
      </c>
      <c r="N89" s="81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36" t="s">
        <v>311</v>
      </c>
      <c r="D90" s="36" t="s">
        <v>312</v>
      </c>
      <c r="E90" s="37">
        <f>160000+40000</f>
        <v>200000</v>
      </c>
      <c r="F90" s="37">
        <v>0</v>
      </c>
      <c r="G90" s="37">
        <f t="shared" si="2"/>
        <v>200000</v>
      </c>
      <c r="H90" s="66" t="s">
        <v>310</v>
      </c>
      <c r="I90" s="39">
        <v>480000</v>
      </c>
      <c r="J90" s="39">
        <v>0</v>
      </c>
      <c r="K90" s="41">
        <v>40909</v>
      </c>
      <c r="L90" s="41" t="s">
        <v>67</v>
      </c>
      <c r="M90" s="44" t="s">
        <v>26</v>
      </c>
      <c r="N90" s="81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36" t="s">
        <v>194</v>
      </c>
      <c r="D91" s="36" t="s">
        <v>251</v>
      </c>
      <c r="E91" s="37">
        <f>96652.2+32217.4+32217.4+64434.8+32217.4</f>
        <v>257739.19999999998</v>
      </c>
      <c r="F91" s="37">
        <v>0</v>
      </c>
      <c r="G91" s="37">
        <f t="shared" si="2"/>
        <v>257739.19999999998</v>
      </c>
      <c r="H91" s="66" t="s">
        <v>196</v>
      </c>
      <c r="I91" s="39">
        <v>386608.8</v>
      </c>
      <c r="J91" s="39">
        <v>354391.4</v>
      </c>
      <c r="K91" s="41">
        <v>40544</v>
      </c>
      <c r="L91" s="41" t="s">
        <v>67</v>
      </c>
      <c r="M91" s="44" t="s">
        <v>26</v>
      </c>
      <c r="N91" s="81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36" t="s">
        <v>185</v>
      </c>
      <c r="D92" s="36" t="s">
        <v>197</v>
      </c>
      <c r="E92" s="37">
        <v>36000</v>
      </c>
      <c r="F92" s="37">
        <v>0</v>
      </c>
      <c r="G92" s="37">
        <f t="shared" si="2"/>
        <v>36000</v>
      </c>
      <c r="H92" s="66" t="s">
        <v>184</v>
      </c>
      <c r="I92" s="39">
        <v>36000</v>
      </c>
      <c r="J92" s="39">
        <v>0</v>
      </c>
      <c r="K92" s="41">
        <v>40544</v>
      </c>
      <c r="L92" s="41" t="s">
        <v>67</v>
      </c>
      <c r="M92" s="44" t="s">
        <v>26</v>
      </c>
      <c r="N92" s="68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36" t="s">
        <v>185</v>
      </c>
      <c r="D93" s="36" t="s">
        <v>198</v>
      </c>
      <c r="E93" s="37">
        <f>4407.62+71493.36+72156.88+23104.62</f>
        <v>171162.47999999998</v>
      </c>
      <c r="F93" s="37">
        <v>0</v>
      </c>
      <c r="G93" s="37">
        <f t="shared" si="2"/>
        <v>171162.47999999998</v>
      </c>
      <c r="H93" s="67" t="s">
        <v>184</v>
      </c>
      <c r="I93" s="45">
        <v>245000</v>
      </c>
      <c r="J93" s="45">
        <v>237337.58</v>
      </c>
      <c r="K93" s="41">
        <v>40544</v>
      </c>
      <c r="L93" s="41" t="s">
        <v>67</v>
      </c>
      <c r="M93" s="41" t="s">
        <v>26</v>
      </c>
      <c r="N93" s="68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199</v>
      </c>
      <c r="D94" s="36" t="s">
        <v>200</v>
      </c>
      <c r="E94" s="37">
        <v>0</v>
      </c>
      <c r="F94" s="37">
        <v>0</v>
      </c>
      <c r="G94" s="37">
        <f t="shared" si="2"/>
        <v>0</v>
      </c>
      <c r="H94" s="67" t="s">
        <v>201</v>
      </c>
      <c r="I94" s="45">
        <v>95000</v>
      </c>
      <c r="J94" s="45">
        <v>95000</v>
      </c>
      <c r="K94" s="41">
        <v>40483</v>
      </c>
      <c r="L94" s="41" t="s">
        <v>67</v>
      </c>
      <c r="M94" s="41" t="s">
        <v>26</v>
      </c>
      <c r="N94" s="68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36" t="s">
        <v>199</v>
      </c>
      <c r="D95" s="36" t="s">
        <v>202</v>
      </c>
      <c r="E95" s="37">
        <v>0</v>
      </c>
      <c r="F95" s="37">
        <v>0</v>
      </c>
      <c r="G95" s="37">
        <f t="shared" si="2"/>
        <v>0</v>
      </c>
      <c r="H95" s="67" t="s">
        <v>201</v>
      </c>
      <c r="I95" s="45">
        <v>30000</v>
      </c>
      <c r="J95" s="45">
        <v>30000</v>
      </c>
      <c r="K95" s="41">
        <v>40483</v>
      </c>
      <c r="L95" s="41" t="s">
        <v>67</v>
      </c>
      <c r="M95" s="41" t="s">
        <v>26</v>
      </c>
      <c r="N95" s="68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36" t="s">
        <v>199</v>
      </c>
      <c r="D96" s="36" t="s">
        <v>203</v>
      </c>
      <c r="E96" s="37">
        <v>1950</v>
      </c>
      <c r="F96" s="37">
        <v>0</v>
      </c>
      <c r="G96" s="37">
        <f t="shared" si="2"/>
        <v>1950</v>
      </c>
      <c r="H96" s="67" t="s">
        <v>201</v>
      </c>
      <c r="I96" s="45">
        <v>1950</v>
      </c>
      <c r="J96" s="45">
        <v>0</v>
      </c>
      <c r="K96" s="41">
        <v>40878</v>
      </c>
      <c r="L96" s="41" t="s">
        <v>67</v>
      </c>
      <c r="M96" s="41" t="s">
        <v>26</v>
      </c>
      <c r="N96" s="68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36" t="s">
        <v>204</v>
      </c>
      <c r="D97" s="36" t="s">
        <v>205</v>
      </c>
      <c r="E97" s="37">
        <v>0</v>
      </c>
      <c r="F97" s="37">
        <v>0</v>
      </c>
      <c r="G97" s="37">
        <f t="shared" si="2"/>
        <v>0</v>
      </c>
      <c r="H97" s="67" t="s">
        <v>206</v>
      </c>
      <c r="I97" s="45">
        <v>266666.7</v>
      </c>
      <c r="J97" s="37">
        <v>26666.67</v>
      </c>
      <c r="K97" s="41">
        <v>40544</v>
      </c>
      <c r="L97" s="41" t="s">
        <v>67</v>
      </c>
      <c r="M97" s="41" t="s">
        <v>26</v>
      </c>
      <c r="N97" s="68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36" t="s">
        <v>204</v>
      </c>
      <c r="D98" s="36" t="s">
        <v>207</v>
      </c>
      <c r="E98" s="37">
        <v>0</v>
      </c>
      <c r="F98" s="37">
        <v>0</v>
      </c>
      <c r="G98" s="37">
        <f t="shared" si="2"/>
        <v>0</v>
      </c>
      <c r="H98" s="67" t="s">
        <v>208</v>
      </c>
      <c r="I98" s="45">
        <v>200000</v>
      </c>
      <c r="J98" s="37">
        <v>20000</v>
      </c>
      <c r="K98" s="41">
        <v>40544</v>
      </c>
      <c r="L98" s="41" t="s">
        <v>67</v>
      </c>
      <c r="M98" s="41" t="s">
        <v>26</v>
      </c>
      <c r="N98" s="68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36" t="s">
        <v>204</v>
      </c>
      <c r="D99" s="36" t="s">
        <v>209</v>
      </c>
      <c r="E99" s="37">
        <v>0</v>
      </c>
      <c r="F99" s="37">
        <v>0</v>
      </c>
      <c r="G99" s="37">
        <f t="shared" si="2"/>
        <v>0</v>
      </c>
      <c r="H99" s="67" t="s">
        <v>210</v>
      </c>
      <c r="I99" s="45">
        <v>400000</v>
      </c>
      <c r="J99" s="37">
        <v>40000</v>
      </c>
      <c r="K99" s="41">
        <v>40544</v>
      </c>
      <c r="L99" s="41" t="s">
        <v>67</v>
      </c>
      <c r="M99" s="41" t="s">
        <v>26</v>
      </c>
      <c r="N99" s="68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36" t="s">
        <v>204</v>
      </c>
      <c r="D100" s="36" t="s">
        <v>211</v>
      </c>
      <c r="E100" s="37">
        <v>0</v>
      </c>
      <c r="F100" s="37">
        <v>0</v>
      </c>
      <c r="G100" s="37">
        <f t="shared" si="2"/>
        <v>0</v>
      </c>
      <c r="H100" s="67" t="s">
        <v>212</v>
      </c>
      <c r="I100" s="45">
        <v>200000</v>
      </c>
      <c r="J100" s="37">
        <v>20000</v>
      </c>
      <c r="K100" s="41">
        <v>40544</v>
      </c>
      <c r="L100" s="41" t="s">
        <v>67</v>
      </c>
      <c r="M100" s="41" t="s">
        <v>26</v>
      </c>
      <c r="N100" s="68" t="s">
        <v>27</v>
      </c>
    </row>
    <row r="101" spans="1:14" s="4" customFormat="1" ht="49.5" customHeight="1">
      <c r="A101" s="35">
        <f t="shared" si="3"/>
        <v>99</v>
      </c>
      <c r="B101" s="36" t="s">
        <v>181</v>
      </c>
      <c r="C101" s="36" t="s">
        <v>204</v>
      </c>
      <c r="D101" s="36" t="s">
        <v>213</v>
      </c>
      <c r="E101" s="37">
        <v>0</v>
      </c>
      <c r="F101" s="37">
        <v>0</v>
      </c>
      <c r="G101" s="37">
        <f t="shared" si="2"/>
        <v>0</v>
      </c>
      <c r="H101" s="67" t="s">
        <v>214</v>
      </c>
      <c r="I101" s="45">
        <v>200000</v>
      </c>
      <c r="J101" s="37">
        <v>20000</v>
      </c>
      <c r="K101" s="41">
        <v>40544</v>
      </c>
      <c r="L101" s="41" t="s">
        <v>67</v>
      </c>
      <c r="M101" s="41" t="s">
        <v>26</v>
      </c>
      <c r="N101" s="68" t="s">
        <v>27</v>
      </c>
    </row>
    <row r="102" spans="1:14" s="4" customFormat="1" ht="49.5" customHeight="1">
      <c r="A102" s="35">
        <f t="shared" si="3"/>
        <v>100</v>
      </c>
      <c r="B102" s="36" t="s">
        <v>181</v>
      </c>
      <c r="C102" s="36" t="s">
        <v>252</v>
      </c>
      <c r="D102" s="36" t="s">
        <v>253</v>
      </c>
      <c r="E102" s="37">
        <v>36000</v>
      </c>
      <c r="F102" s="37">
        <v>0</v>
      </c>
      <c r="G102" s="37">
        <f t="shared" si="2"/>
        <v>36000</v>
      </c>
      <c r="H102" s="67" t="s">
        <v>254</v>
      </c>
      <c r="I102" s="45">
        <v>180000</v>
      </c>
      <c r="J102" s="37">
        <v>0</v>
      </c>
      <c r="K102" s="41">
        <v>40909</v>
      </c>
      <c r="L102" s="41" t="s">
        <v>67</v>
      </c>
      <c r="M102" s="41" t="s">
        <v>26</v>
      </c>
      <c r="N102" s="68" t="s">
        <v>27</v>
      </c>
    </row>
    <row r="103" spans="1:14" s="4" customFormat="1" ht="49.5" customHeight="1">
      <c r="A103" s="35">
        <f t="shared" si="3"/>
        <v>101</v>
      </c>
      <c r="B103" s="36" t="s">
        <v>181</v>
      </c>
      <c r="C103" s="36" t="s">
        <v>286</v>
      </c>
      <c r="D103" s="36" t="s">
        <v>287</v>
      </c>
      <c r="E103" s="37">
        <v>14070</v>
      </c>
      <c r="F103" s="37">
        <v>0</v>
      </c>
      <c r="G103" s="37">
        <f t="shared" si="2"/>
        <v>14070</v>
      </c>
      <c r="H103" s="67" t="s">
        <v>288</v>
      </c>
      <c r="I103" s="45">
        <v>70350</v>
      </c>
      <c r="J103" s="37">
        <v>0</v>
      </c>
      <c r="K103" s="41">
        <v>41085</v>
      </c>
      <c r="L103" s="41">
        <v>41639</v>
      </c>
      <c r="M103" s="41" t="s">
        <v>26</v>
      </c>
      <c r="N103" s="68" t="s">
        <v>27</v>
      </c>
    </row>
    <row r="104" spans="1:14" s="4" customFormat="1" ht="49.5" customHeight="1" thickBot="1">
      <c r="A104" s="48">
        <f t="shared" si="3"/>
        <v>102</v>
      </c>
      <c r="B104" s="49" t="s">
        <v>181</v>
      </c>
      <c r="C104" s="49" t="s">
        <v>286</v>
      </c>
      <c r="D104" s="49" t="s">
        <v>289</v>
      </c>
      <c r="E104" s="50">
        <v>25905</v>
      </c>
      <c r="F104" s="50">
        <v>0</v>
      </c>
      <c r="G104" s="50">
        <f t="shared" si="2"/>
        <v>25905</v>
      </c>
      <c r="H104" s="69" t="s">
        <v>290</v>
      </c>
      <c r="I104" s="52">
        <v>129525</v>
      </c>
      <c r="J104" s="50">
        <v>0</v>
      </c>
      <c r="K104" s="54">
        <v>41085</v>
      </c>
      <c r="L104" s="54">
        <v>41639</v>
      </c>
      <c r="M104" s="54" t="s">
        <v>26</v>
      </c>
      <c r="N104" s="70" t="s">
        <v>27</v>
      </c>
    </row>
    <row r="105" spans="1:14" s="4" customFormat="1" ht="49.5" customHeight="1" thickBot="1" thickTop="1">
      <c r="A105" s="9"/>
      <c r="B105" s="10"/>
      <c r="C105" s="10"/>
      <c r="D105" s="71" t="s">
        <v>215</v>
      </c>
      <c r="E105" s="72">
        <f>SUM(E3:E104)</f>
        <v>11933835.96</v>
      </c>
      <c r="F105" s="72">
        <f>SUM(F3:F104)</f>
        <v>0</v>
      </c>
      <c r="G105" s="73">
        <f>SUM(G3:G104)</f>
        <v>11933835.96</v>
      </c>
      <c r="H105" s="10"/>
      <c r="I105" s="10"/>
      <c r="J105" s="10"/>
      <c r="K105" s="10"/>
      <c r="L105" s="11"/>
      <c r="M105" s="10"/>
      <c r="N105" s="12"/>
    </row>
    <row r="106" ht="13.5" thickTop="1"/>
    <row r="107" spans="1:14" s="15" customFormat="1" ht="12.75">
      <c r="A107" s="13"/>
      <c r="B107" s="14"/>
      <c r="C107" s="14"/>
      <c r="D107" s="25" t="s">
        <v>325</v>
      </c>
      <c r="E107" s="25"/>
      <c r="F107" s="25"/>
      <c r="G107" s="25"/>
      <c r="K107" s="14"/>
      <c r="L107" s="16"/>
      <c r="M107" s="14"/>
      <c r="N107" s="17"/>
    </row>
    <row r="108" spans="2:13" s="15" customFormat="1" ht="12.75">
      <c r="B108" s="22"/>
      <c r="C108" s="22"/>
      <c r="E108" s="22"/>
      <c r="F108" s="22"/>
      <c r="G108" s="22"/>
      <c r="K108" s="22"/>
      <c r="L108" s="22"/>
      <c r="M108" s="22"/>
    </row>
    <row r="109" spans="1:14" s="15" customFormat="1" ht="12.75">
      <c r="A109" s="20"/>
      <c r="B109" s="24" t="s">
        <v>221</v>
      </c>
      <c r="C109" s="24"/>
      <c r="E109" s="23" t="s">
        <v>222</v>
      </c>
      <c r="F109" s="23"/>
      <c r="G109" s="23"/>
      <c r="K109" s="23" t="s">
        <v>223</v>
      </c>
      <c r="L109" s="23"/>
      <c r="M109" s="23"/>
      <c r="N109" s="19"/>
    </row>
    <row r="110" spans="1:14" s="15" customFormat="1" ht="12.75">
      <c r="A110" s="21"/>
      <c r="B110" s="18" t="s">
        <v>224</v>
      </c>
      <c r="C110" s="18"/>
      <c r="E110" s="18" t="s">
        <v>225</v>
      </c>
      <c r="F110" s="18"/>
      <c r="G110" s="18"/>
      <c r="K110" s="18" t="s">
        <v>226</v>
      </c>
      <c r="L110" s="18"/>
      <c r="M110" s="18"/>
      <c r="N110" s="19"/>
    </row>
  </sheetData>
  <sheetProtection selectLockedCells="1" selectUnlockedCells="1"/>
  <mergeCells count="11">
    <mergeCell ref="B110:C110"/>
    <mergeCell ref="E110:G110"/>
    <mergeCell ref="K110:M110"/>
    <mergeCell ref="A1:N1"/>
    <mergeCell ref="D107:G107"/>
    <mergeCell ref="B108:C108"/>
    <mergeCell ref="E108:G108"/>
    <mergeCell ref="K108:M108"/>
    <mergeCell ref="B109:C109"/>
    <mergeCell ref="E109:G109"/>
    <mergeCell ref="K109:M109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30" max="13" man="1"/>
    <brk id="45" max="13" man="1"/>
    <brk id="7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2" customWidth="1"/>
    <col min="13" max="13" width="14.7109375" style="1" customWidth="1"/>
    <col min="14" max="14" width="14.7109375" style="3" customWidth="1"/>
    <col min="15" max="16384" width="9.140625" style="1" customWidth="1"/>
  </cols>
  <sheetData>
    <row r="1" spans="1:14" ht="30" customHeight="1" thickBot="1">
      <c r="A1" s="8" t="s">
        <v>326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6" customFormat="1" ht="49.5" customHeight="1" thickBot="1" thickTop="1">
      <c r="A2" s="60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1" t="s">
        <v>216</v>
      </c>
      <c r="G2" s="61" t="s">
        <v>5</v>
      </c>
      <c r="H2" s="61" t="s">
        <v>217</v>
      </c>
      <c r="I2" s="61" t="s">
        <v>218</v>
      </c>
      <c r="J2" s="61" t="s">
        <v>219</v>
      </c>
      <c r="K2" s="61" t="s">
        <v>220</v>
      </c>
      <c r="L2" s="61" t="s">
        <v>6</v>
      </c>
      <c r="M2" s="61" t="s">
        <v>7</v>
      </c>
      <c r="N2" s="63" t="s">
        <v>8</v>
      </c>
      <c r="O2" s="5"/>
    </row>
    <row r="3" spans="1:14" s="4" customFormat="1" ht="49.5" customHeight="1" thickTop="1">
      <c r="A3" s="26">
        <v>1</v>
      </c>
      <c r="B3" s="80" t="s">
        <v>315</v>
      </c>
      <c r="C3" s="80" t="s">
        <v>316</v>
      </c>
      <c r="D3" s="80" t="s">
        <v>317</v>
      </c>
      <c r="E3" s="28">
        <v>1063.57</v>
      </c>
      <c r="F3" s="28">
        <v>0</v>
      </c>
      <c r="G3" s="28">
        <f aca="true" t="shared" si="0" ref="G3:G66">E3+F3</f>
        <v>1063.57</v>
      </c>
      <c r="H3" s="29" t="s">
        <v>318</v>
      </c>
      <c r="I3" s="30">
        <f>G3</f>
        <v>1063.57</v>
      </c>
      <c r="J3" s="28">
        <v>0</v>
      </c>
      <c r="K3" s="74">
        <v>38681</v>
      </c>
      <c r="L3" s="74">
        <v>41274</v>
      </c>
      <c r="M3" s="33" t="s">
        <v>319</v>
      </c>
      <c r="N3" s="34" t="s">
        <v>68</v>
      </c>
    </row>
    <row r="4" spans="1:14" s="4" customFormat="1" ht="49.5" customHeight="1">
      <c r="A4" s="35">
        <f aca="true" t="shared" si="1" ref="A4:A67">A3+1</f>
        <v>2</v>
      </c>
      <c r="B4" s="36" t="s">
        <v>9</v>
      </c>
      <c r="C4" s="36" t="s">
        <v>10</v>
      </c>
      <c r="D4" s="36" t="s">
        <v>11</v>
      </c>
      <c r="E4" s="37">
        <v>8415</v>
      </c>
      <c r="F4" s="37">
        <v>0</v>
      </c>
      <c r="G4" s="37">
        <f t="shared" si="0"/>
        <v>8415</v>
      </c>
      <c r="H4" s="44" t="s">
        <v>12</v>
      </c>
      <c r="I4" s="45">
        <f>12*8415</f>
        <v>100980</v>
      </c>
      <c r="J4" s="37">
        <f>25245+16830+8415+33660+8415</f>
        <v>92565</v>
      </c>
      <c r="K4" s="46">
        <v>40545</v>
      </c>
      <c r="L4" s="46">
        <v>40908</v>
      </c>
      <c r="M4" s="38" t="s">
        <v>13</v>
      </c>
      <c r="N4" s="42" t="s">
        <v>14</v>
      </c>
    </row>
    <row r="5" spans="1:14" s="4" customFormat="1" ht="49.5" customHeight="1">
      <c r="A5" s="35">
        <f t="shared" si="1"/>
        <v>3</v>
      </c>
      <c r="B5" s="36" t="s">
        <v>9</v>
      </c>
      <c r="C5" s="36" t="s">
        <v>15</v>
      </c>
      <c r="D5" s="36" t="s">
        <v>11</v>
      </c>
      <c r="E5" s="37">
        <v>7150</v>
      </c>
      <c r="F5" s="37">
        <v>0</v>
      </c>
      <c r="G5" s="37">
        <f t="shared" si="0"/>
        <v>7150</v>
      </c>
      <c r="H5" s="38" t="s">
        <v>16</v>
      </c>
      <c r="I5" s="39">
        <f>7150*12</f>
        <v>85800</v>
      </c>
      <c r="J5" s="37">
        <f>21450+14300+7150+28600+7150</f>
        <v>78650</v>
      </c>
      <c r="K5" s="46">
        <v>40545</v>
      </c>
      <c r="L5" s="46">
        <v>40908</v>
      </c>
      <c r="M5" s="38" t="s">
        <v>13</v>
      </c>
      <c r="N5" s="42" t="s">
        <v>14</v>
      </c>
    </row>
    <row r="6" spans="1:14" s="4" customFormat="1" ht="49.5" customHeight="1">
      <c r="A6" s="35">
        <f t="shared" si="1"/>
        <v>4</v>
      </c>
      <c r="B6" s="36" t="s">
        <v>9</v>
      </c>
      <c r="C6" s="36" t="s">
        <v>10</v>
      </c>
      <c r="D6" s="36" t="s">
        <v>11</v>
      </c>
      <c r="E6" s="37">
        <f>33660+16830+8415</f>
        <v>58905</v>
      </c>
      <c r="F6" s="37">
        <v>0</v>
      </c>
      <c r="G6" s="37">
        <f t="shared" si="0"/>
        <v>58905</v>
      </c>
      <c r="H6" s="44" t="s">
        <v>12</v>
      </c>
      <c r="I6" s="45">
        <f>12*8415</f>
        <v>100980</v>
      </c>
      <c r="J6" s="37">
        <v>0</v>
      </c>
      <c r="K6" s="46">
        <v>40910</v>
      </c>
      <c r="L6" s="46">
        <v>41274</v>
      </c>
      <c r="M6" s="38" t="s">
        <v>285</v>
      </c>
      <c r="N6" s="42" t="s">
        <v>14</v>
      </c>
    </row>
    <row r="7" spans="1:14" s="4" customFormat="1" ht="49.5" customHeight="1">
      <c r="A7" s="35">
        <f t="shared" si="1"/>
        <v>5</v>
      </c>
      <c r="B7" s="36" t="s">
        <v>9</v>
      </c>
      <c r="C7" s="36" t="s">
        <v>15</v>
      </c>
      <c r="D7" s="36" t="s">
        <v>11</v>
      </c>
      <c r="E7" s="37">
        <f>28600+14300+7150+77792.4</f>
        <v>127842.4</v>
      </c>
      <c r="F7" s="37">
        <v>0</v>
      </c>
      <c r="G7" s="37">
        <f t="shared" si="0"/>
        <v>127842.4</v>
      </c>
      <c r="H7" s="38" t="s">
        <v>16</v>
      </c>
      <c r="I7" s="39">
        <f>7150*12</f>
        <v>85800</v>
      </c>
      <c r="J7" s="37">
        <v>0</v>
      </c>
      <c r="K7" s="46">
        <v>40910</v>
      </c>
      <c r="L7" s="46">
        <v>41274</v>
      </c>
      <c r="M7" s="38" t="s">
        <v>285</v>
      </c>
      <c r="N7" s="42" t="s">
        <v>14</v>
      </c>
    </row>
    <row r="8" spans="1:14" s="4" customFormat="1" ht="49.5" customHeight="1">
      <c r="A8" s="35">
        <f t="shared" si="1"/>
        <v>6</v>
      </c>
      <c r="B8" s="36" t="s">
        <v>295</v>
      </c>
      <c r="C8" s="36" t="s">
        <v>296</v>
      </c>
      <c r="D8" s="36" t="s">
        <v>297</v>
      </c>
      <c r="E8" s="37">
        <v>20000</v>
      </c>
      <c r="F8" s="37">
        <v>0</v>
      </c>
      <c r="G8" s="37">
        <f t="shared" si="0"/>
        <v>20000</v>
      </c>
      <c r="H8" s="38" t="s">
        <v>298</v>
      </c>
      <c r="I8" s="39">
        <v>20000</v>
      </c>
      <c r="J8" s="37">
        <v>0</v>
      </c>
      <c r="K8" s="46">
        <v>41086</v>
      </c>
      <c r="L8" s="46">
        <v>41274</v>
      </c>
      <c r="M8" s="38" t="s">
        <v>285</v>
      </c>
      <c r="N8" s="42" t="s">
        <v>68</v>
      </c>
    </row>
    <row r="9" spans="1:14" s="4" customFormat="1" ht="49.5" customHeight="1">
      <c r="A9" s="35">
        <f t="shared" si="1"/>
        <v>7</v>
      </c>
      <c r="B9" s="36" t="s">
        <v>17</v>
      </c>
      <c r="C9" s="36" t="s">
        <v>18</v>
      </c>
      <c r="D9" s="36" t="s">
        <v>19</v>
      </c>
      <c r="E9" s="37">
        <v>0</v>
      </c>
      <c r="F9" s="37">
        <v>0</v>
      </c>
      <c r="G9" s="37">
        <f t="shared" si="0"/>
        <v>0</v>
      </c>
      <c r="H9" s="38" t="s">
        <v>20</v>
      </c>
      <c r="I9" s="39">
        <v>2556407.93</v>
      </c>
      <c r="J9" s="39">
        <v>383461.19</v>
      </c>
      <c r="K9" s="46">
        <v>40142</v>
      </c>
      <c r="L9" s="46">
        <v>40872</v>
      </c>
      <c r="M9" s="38" t="s">
        <v>21</v>
      </c>
      <c r="N9" s="42" t="s">
        <v>22</v>
      </c>
    </row>
    <row r="10" spans="1:14" s="4" customFormat="1" ht="49.5" customHeight="1">
      <c r="A10" s="35">
        <f t="shared" si="1"/>
        <v>8</v>
      </c>
      <c r="B10" s="36" t="s">
        <v>17</v>
      </c>
      <c r="C10" s="36" t="s">
        <v>23</v>
      </c>
      <c r="D10" s="36" t="s">
        <v>24</v>
      </c>
      <c r="E10" s="37">
        <f>279227.1+279227.1+279227.1+279227.1+279227.1+325180.33+325180.33</f>
        <v>2046496.1600000001</v>
      </c>
      <c r="F10" s="37">
        <v>0</v>
      </c>
      <c r="G10" s="37">
        <f t="shared" si="0"/>
        <v>2046496.1600000001</v>
      </c>
      <c r="H10" s="38" t="s">
        <v>25</v>
      </c>
      <c r="I10" s="39">
        <v>2792271</v>
      </c>
      <c r="J10" s="37">
        <f>279227.1+279227.1+279227.1+279227.1+279227.1</f>
        <v>1396135.5</v>
      </c>
      <c r="K10" s="46">
        <v>39995</v>
      </c>
      <c r="L10" s="46">
        <v>41820</v>
      </c>
      <c r="M10" s="38" t="s">
        <v>26</v>
      </c>
      <c r="N10" s="42" t="s">
        <v>27</v>
      </c>
    </row>
    <row r="11" spans="1:14" s="4" customFormat="1" ht="49.5" customHeight="1">
      <c r="A11" s="35">
        <f t="shared" si="1"/>
        <v>9</v>
      </c>
      <c r="B11" s="36" t="s">
        <v>257</v>
      </c>
      <c r="C11" s="36" t="s">
        <v>258</v>
      </c>
      <c r="D11" s="36" t="s">
        <v>259</v>
      </c>
      <c r="E11" s="37">
        <f>196589+196589+196589</f>
        <v>589767</v>
      </c>
      <c r="F11" s="37">
        <v>0</v>
      </c>
      <c r="G11" s="37">
        <f t="shared" si="0"/>
        <v>589767</v>
      </c>
      <c r="H11" s="38" t="s">
        <v>260</v>
      </c>
      <c r="I11" s="39">
        <f>4*196589</f>
        <v>786356</v>
      </c>
      <c r="J11" s="39">
        <v>0</v>
      </c>
      <c r="K11" s="46">
        <v>40957</v>
      </c>
      <c r="L11" s="46">
        <v>41688</v>
      </c>
      <c r="M11" s="38" t="s">
        <v>26</v>
      </c>
      <c r="N11" s="42" t="s">
        <v>68</v>
      </c>
    </row>
    <row r="12" spans="1:14" s="4" customFormat="1" ht="49.5" customHeight="1">
      <c r="A12" s="35">
        <f t="shared" si="1"/>
        <v>10</v>
      </c>
      <c r="B12" s="36" t="s">
        <v>28</v>
      </c>
      <c r="C12" s="36" t="s">
        <v>29</v>
      </c>
      <c r="D12" s="36" t="s">
        <v>30</v>
      </c>
      <c r="E12" s="37">
        <v>0</v>
      </c>
      <c r="F12" s="37">
        <v>0</v>
      </c>
      <c r="G12" s="37">
        <f t="shared" si="0"/>
        <v>0</v>
      </c>
      <c r="H12" s="38" t="s">
        <v>31</v>
      </c>
      <c r="I12" s="39">
        <v>273666.94</v>
      </c>
      <c r="J12" s="39">
        <v>273666.94</v>
      </c>
      <c r="K12" s="46">
        <v>40178</v>
      </c>
      <c r="L12" s="46">
        <v>40542</v>
      </c>
      <c r="M12" s="38" t="s">
        <v>32</v>
      </c>
      <c r="N12" s="42" t="s">
        <v>27</v>
      </c>
    </row>
    <row r="13" spans="1:14" s="4" customFormat="1" ht="49.5" customHeight="1">
      <c r="A13" s="35">
        <f t="shared" si="1"/>
        <v>11</v>
      </c>
      <c r="B13" s="36" t="s">
        <v>28</v>
      </c>
      <c r="C13" s="36" t="s">
        <v>29</v>
      </c>
      <c r="D13" s="36" t="s">
        <v>33</v>
      </c>
      <c r="E13" s="37">
        <v>0</v>
      </c>
      <c r="F13" s="37">
        <v>0</v>
      </c>
      <c r="G13" s="37">
        <f t="shared" si="0"/>
        <v>0</v>
      </c>
      <c r="H13" s="38" t="s">
        <v>34</v>
      </c>
      <c r="I13" s="39">
        <v>1636649.08</v>
      </c>
      <c r="J13" s="39">
        <v>514958.82</v>
      </c>
      <c r="K13" s="46">
        <v>40176</v>
      </c>
      <c r="L13" s="46">
        <v>40722</v>
      </c>
      <c r="M13" s="38" t="s">
        <v>35</v>
      </c>
      <c r="N13" s="42" t="s">
        <v>27</v>
      </c>
    </row>
    <row r="14" spans="1:14" s="4" customFormat="1" ht="49.5" customHeight="1">
      <c r="A14" s="35">
        <f t="shared" si="1"/>
        <v>12</v>
      </c>
      <c r="B14" s="36" t="s">
        <v>28</v>
      </c>
      <c r="C14" s="36" t="s">
        <v>29</v>
      </c>
      <c r="D14" s="36" t="s">
        <v>36</v>
      </c>
      <c r="E14" s="37">
        <v>0</v>
      </c>
      <c r="F14" s="37">
        <v>0</v>
      </c>
      <c r="G14" s="37">
        <f t="shared" si="0"/>
        <v>0</v>
      </c>
      <c r="H14" s="44" t="s">
        <v>37</v>
      </c>
      <c r="I14" s="45">
        <v>1492263.04</v>
      </c>
      <c r="J14" s="45">
        <v>517381.16</v>
      </c>
      <c r="K14" s="46">
        <v>40176</v>
      </c>
      <c r="L14" s="46">
        <v>40905</v>
      </c>
      <c r="M14" s="38" t="s">
        <v>38</v>
      </c>
      <c r="N14" s="42" t="s">
        <v>27</v>
      </c>
    </row>
    <row r="15" spans="1:14" s="4" customFormat="1" ht="49.5" customHeight="1">
      <c r="A15" s="35">
        <f t="shared" si="1"/>
        <v>13</v>
      </c>
      <c r="B15" s="36" t="s">
        <v>28</v>
      </c>
      <c r="C15" s="36" t="s">
        <v>29</v>
      </c>
      <c r="D15" s="36" t="s">
        <v>39</v>
      </c>
      <c r="E15" s="37">
        <v>147662.4</v>
      </c>
      <c r="F15" s="37">
        <v>0</v>
      </c>
      <c r="G15" s="37">
        <f t="shared" si="0"/>
        <v>147662.4</v>
      </c>
      <c r="H15" s="38" t="s">
        <v>40</v>
      </c>
      <c r="I15" s="39">
        <v>322420.94</v>
      </c>
      <c r="J15" s="39">
        <v>174758.54</v>
      </c>
      <c r="K15" s="46">
        <v>40176</v>
      </c>
      <c r="L15" s="46">
        <v>40540</v>
      </c>
      <c r="M15" s="38" t="s">
        <v>32</v>
      </c>
      <c r="N15" s="42" t="s">
        <v>27</v>
      </c>
    </row>
    <row r="16" spans="1:14" s="4" customFormat="1" ht="49.5" customHeight="1">
      <c r="A16" s="35">
        <f t="shared" si="1"/>
        <v>14</v>
      </c>
      <c r="B16" s="36" t="s">
        <v>28</v>
      </c>
      <c r="C16" s="36" t="s">
        <v>29</v>
      </c>
      <c r="D16" s="36" t="s">
        <v>41</v>
      </c>
      <c r="E16" s="37">
        <v>0</v>
      </c>
      <c r="F16" s="37">
        <v>0</v>
      </c>
      <c r="G16" s="37">
        <f t="shared" si="0"/>
        <v>0</v>
      </c>
      <c r="H16" s="38" t="s">
        <v>42</v>
      </c>
      <c r="I16" s="39">
        <v>851408.61</v>
      </c>
      <c r="J16" s="39">
        <f>588308.41+263100.2</f>
        <v>851408.6100000001</v>
      </c>
      <c r="K16" s="46">
        <v>38890</v>
      </c>
      <c r="L16" s="46">
        <v>40056</v>
      </c>
      <c r="M16" s="38" t="s">
        <v>26</v>
      </c>
      <c r="N16" s="42" t="s">
        <v>27</v>
      </c>
    </row>
    <row r="17" spans="1:14" s="4" customFormat="1" ht="49.5" customHeight="1">
      <c r="A17" s="35">
        <f t="shared" si="1"/>
        <v>15</v>
      </c>
      <c r="B17" s="36" t="s">
        <v>28</v>
      </c>
      <c r="C17" s="36" t="s">
        <v>29</v>
      </c>
      <c r="D17" s="36" t="s">
        <v>43</v>
      </c>
      <c r="E17" s="37">
        <v>140800</v>
      </c>
      <c r="F17" s="37">
        <v>0</v>
      </c>
      <c r="G17" s="37">
        <f t="shared" si="0"/>
        <v>140800</v>
      </c>
      <c r="H17" s="38" t="s">
        <v>44</v>
      </c>
      <c r="I17" s="39">
        <v>352000</v>
      </c>
      <c r="J17" s="39">
        <v>211200</v>
      </c>
      <c r="K17" s="46">
        <v>39633</v>
      </c>
      <c r="L17" s="46">
        <v>39993</v>
      </c>
      <c r="M17" s="38" t="s">
        <v>35</v>
      </c>
      <c r="N17" s="42" t="s">
        <v>27</v>
      </c>
    </row>
    <row r="18" spans="1:14" s="4" customFormat="1" ht="49.5" customHeight="1">
      <c r="A18" s="35">
        <f t="shared" si="1"/>
        <v>16</v>
      </c>
      <c r="B18" s="36" t="s">
        <v>28</v>
      </c>
      <c r="C18" s="36" t="s">
        <v>29</v>
      </c>
      <c r="D18" s="36" t="s">
        <v>45</v>
      </c>
      <c r="E18" s="37">
        <v>0</v>
      </c>
      <c r="F18" s="37">
        <v>0</v>
      </c>
      <c r="G18" s="37">
        <f t="shared" si="0"/>
        <v>0</v>
      </c>
      <c r="H18" s="38" t="s">
        <v>46</v>
      </c>
      <c r="I18" s="39">
        <v>516646.91</v>
      </c>
      <c r="J18" s="39">
        <v>437114.41</v>
      </c>
      <c r="K18" s="46">
        <v>40536</v>
      </c>
      <c r="L18" s="46">
        <v>40900</v>
      </c>
      <c r="M18" s="38" t="s">
        <v>26</v>
      </c>
      <c r="N18" s="42" t="s">
        <v>27</v>
      </c>
    </row>
    <row r="19" spans="1:14" s="4" customFormat="1" ht="49.5" customHeight="1">
      <c r="A19" s="35">
        <f t="shared" si="1"/>
        <v>17</v>
      </c>
      <c r="B19" s="36" t="s">
        <v>28</v>
      </c>
      <c r="C19" s="36" t="s">
        <v>29</v>
      </c>
      <c r="D19" s="36" t="s">
        <v>47</v>
      </c>
      <c r="E19" s="37">
        <v>0</v>
      </c>
      <c r="F19" s="37">
        <v>0</v>
      </c>
      <c r="G19" s="37">
        <f t="shared" si="0"/>
        <v>0</v>
      </c>
      <c r="H19" s="38" t="s">
        <v>48</v>
      </c>
      <c r="I19" s="39">
        <v>100000</v>
      </c>
      <c r="J19" s="39">
        <v>100000</v>
      </c>
      <c r="K19" s="46">
        <v>40177</v>
      </c>
      <c r="L19" s="46">
        <v>40541</v>
      </c>
      <c r="M19" s="38" t="s">
        <v>32</v>
      </c>
      <c r="N19" s="42" t="s">
        <v>27</v>
      </c>
    </row>
    <row r="20" spans="1:14" s="4" customFormat="1" ht="49.5" customHeight="1">
      <c r="A20" s="35">
        <f t="shared" si="1"/>
        <v>18</v>
      </c>
      <c r="B20" s="36" t="s">
        <v>28</v>
      </c>
      <c r="C20" s="36" t="s">
        <v>29</v>
      </c>
      <c r="D20" s="36" t="s">
        <v>49</v>
      </c>
      <c r="E20" s="37">
        <v>0</v>
      </c>
      <c r="F20" s="37">
        <v>0</v>
      </c>
      <c r="G20" s="37">
        <f t="shared" si="0"/>
        <v>0</v>
      </c>
      <c r="H20" s="38" t="s">
        <v>50</v>
      </c>
      <c r="I20" s="39">
        <v>202569.34</v>
      </c>
      <c r="J20" s="39">
        <v>202569.343</v>
      </c>
      <c r="K20" s="46">
        <v>40542</v>
      </c>
      <c r="L20" s="46">
        <v>40907</v>
      </c>
      <c r="M20" s="38" t="s">
        <v>26</v>
      </c>
      <c r="N20" s="42" t="s">
        <v>27</v>
      </c>
    </row>
    <row r="21" spans="1:14" s="4" customFormat="1" ht="49.5" customHeight="1">
      <c r="A21" s="35">
        <f t="shared" si="1"/>
        <v>19</v>
      </c>
      <c r="B21" s="36" t="s">
        <v>28</v>
      </c>
      <c r="C21" s="36" t="s">
        <v>29</v>
      </c>
      <c r="D21" s="36" t="s">
        <v>51</v>
      </c>
      <c r="E21" s="37">
        <v>182038.38</v>
      </c>
      <c r="F21" s="37">
        <v>0</v>
      </c>
      <c r="G21" s="37">
        <f t="shared" si="0"/>
        <v>182038.38</v>
      </c>
      <c r="H21" s="38" t="s">
        <v>52</v>
      </c>
      <c r="I21" s="39">
        <v>3640767.5</v>
      </c>
      <c r="J21" s="39">
        <v>0</v>
      </c>
      <c r="K21" s="46">
        <v>40542</v>
      </c>
      <c r="L21" s="46">
        <v>42001</v>
      </c>
      <c r="M21" s="38" t="s">
        <v>35</v>
      </c>
      <c r="N21" s="42" t="s">
        <v>27</v>
      </c>
    </row>
    <row r="22" spans="1:14" s="4" customFormat="1" ht="49.5" customHeight="1">
      <c r="A22" s="35">
        <f t="shared" si="1"/>
        <v>20</v>
      </c>
      <c r="B22" s="36" t="s">
        <v>53</v>
      </c>
      <c r="C22" s="36" t="s">
        <v>29</v>
      </c>
      <c r="D22" s="36" t="s">
        <v>54</v>
      </c>
      <c r="E22" s="37">
        <v>771437.88</v>
      </c>
      <c r="F22" s="37">
        <v>0</v>
      </c>
      <c r="G22" s="37">
        <f t="shared" si="0"/>
        <v>771437.88</v>
      </c>
      <c r="H22" s="38" t="s">
        <v>55</v>
      </c>
      <c r="I22" s="39">
        <v>771437.88</v>
      </c>
      <c r="J22" s="39">
        <v>0</v>
      </c>
      <c r="K22" s="46">
        <v>40886</v>
      </c>
      <c r="L22" s="46">
        <v>41617</v>
      </c>
      <c r="M22" s="38" t="s">
        <v>35</v>
      </c>
      <c r="N22" s="42" t="s">
        <v>27</v>
      </c>
    </row>
    <row r="23" spans="1:14" s="4" customFormat="1" ht="49.5" customHeight="1">
      <c r="A23" s="35">
        <f t="shared" si="1"/>
        <v>21</v>
      </c>
      <c r="B23" s="36" t="s">
        <v>53</v>
      </c>
      <c r="C23" s="36" t="s">
        <v>29</v>
      </c>
      <c r="D23" s="36" t="s">
        <v>56</v>
      </c>
      <c r="E23" s="37">
        <v>90000</v>
      </c>
      <c r="F23" s="37">
        <v>0</v>
      </c>
      <c r="G23" s="37">
        <f t="shared" si="0"/>
        <v>90000</v>
      </c>
      <c r="H23" s="38" t="s">
        <v>57</v>
      </c>
      <c r="I23" s="39">
        <v>3944386.94</v>
      </c>
      <c r="J23" s="39">
        <v>0</v>
      </c>
      <c r="K23" s="46">
        <v>40904</v>
      </c>
      <c r="L23" s="46">
        <v>42000</v>
      </c>
      <c r="M23" s="38" t="s">
        <v>35</v>
      </c>
      <c r="N23" s="42" t="s">
        <v>27</v>
      </c>
    </row>
    <row r="24" spans="1:14" s="4" customFormat="1" ht="49.5" customHeight="1">
      <c r="A24" s="35">
        <f t="shared" si="1"/>
        <v>22</v>
      </c>
      <c r="B24" s="36" t="s">
        <v>28</v>
      </c>
      <c r="C24" s="36" t="s">
        <v>58</v>
      </c>
      <c r="D24" s="36" t="s">
        <v>59</v>
      </c>
      <c r="E24" s="37">
        <v>0</v>
      </c>
      <c r="F24" s="37">
        <v>0</v>
      </c>
      <c r="G24" s="37">
        <f t="shared" si="0"/>
        <v>0</v>
      </c>
      <c r="H24" s="38" t="s">
        <v>60</v>
      </c>
      <c r="I24" s="39">
        <v>250000</v>
      </c>
      <c r="J24" s="39">
        <v>250000</v>
      </c>
      <c r="K24" s="46">
        <v>40155</v>
      </c>
      <c r="L24" s="46">
        <v>40519</v>
      </c>
      <c r="M24" s="38" t="s">
        <v>26</v>
      </c>
      <c r="N24" s="42" t="s">
        <v>27</v>
      </c>
    </row>
    <row r="25" spans="1:14" s="4" customFormat="1" ht="49.5" customHeight="1">
      <c r="A25" s="35">
        <f t="shared" si="1"/>
        <v>23</v>
      </c>
      <c r="B25" s="36" t="s">
        <v>28</v>
      </c>
      <c r="C25" s="36" t="s">
        <v>58</v>
      </c>
      <c r="D25" s="36" t="s">
        <v>61</v>
      </c>
      <c r="E25" s="37">
        <v>0</v>
      </c>
      <c r="F25" s="37">
        <v>0</v>
      </c>
      <c r="G25" s="37">
        <f t="shared" si="0"/>
        <v>0</v>
      </c>
      <c r="H25" s="44" t="s">
        <v>62</v>
      </c>
      <c r="I25" s="45">
        <v>700000</v>
      </c>
      <c r="J25" s="45">
        <v>486857</v>
      </c>
      <c r="K25" s="46">
        <v>40532</v>
      </c>
      <c r="L25" s="46">
        <v>40711</v>
      </c>
      <c r="M25" s="38" t="s">
        <v>26</v>
      </c>
      <c r="N25" s="42" t="s">
        <v>27</v>
      </c>
    </row>
    <row r="26" spans="1:14" s="4" customFormat="1" ht="49.5" customHeight="1">
      <c r="A26" s="35">
        <f t="shared" si="1"/>
        <v>24</v>
      </c>
      <c r="B26" s="36" t="s">
        <v>28</v>
      </c>
      <c r="C26" s="36" t="s">
        <v>58</v>
      </c>
      <c r="D26" s="36" t="s">
        <v>261</v>
      </c>
      <c r="E26" s="37">
        <v>200000</v>
      </c>
      <c r="F26" s="37">
        <v>0</v>
      </c>
      <c r="G26" s="37">
        <f t="shared" si="0"/>
        <v>200000</v>
      </c>
      <c r="H26" s="44" t="s">
        <v>262</v>
      </c>
      <c r="I26" s="45">
        <v>200000</v>
      </c>
      <c r="J26" s="45">
        <v>0</v>
      </c>
      <c r="K26" s="46">
        <v>41018</v>
      </c>
      <c r="L26" s="46">
        <v>41378</v>
      </c>
      <c r="M26" s="38" t="s">
        <v>26</v>
      </c>
      <c r="N26" s="42" t="s">
        <v>27</v>
      </c>
    </row>
    <row r="27" spans="1:14" s="4" customFormat="1" ht="49.5" customHeight="1">
      <c r="A27" s="35">
        <f t="shared" si="1"/>
        <v>25</v>
      </c>
      <c r="B27" s="36" t="s">
        <v>274</v>
      </c>
      <c r="C27" s="36" t="s">
        <v>275</v>
      </c>
      <c r="D27" s="36" t="s">
        <v>276</v>
      </c>
      <c r="E27" s="37">
        <v>330000</v>
      </c>
      <c r="F27" s="37">
        <v>0</v>
      </c>
      <c r="G27" s="37">
        <f t="shared" si="0"/>
        <v>330000</v>
      </c>
      <c r="H27" s="44" t="s">
        <v>277</v>
      </c>
      <c r="I27" s="45">
        <v>330000</v>
      </c>
      <c r="J27" s="45">
        <v>0</v>
      </c>
      <c r="K27" s="46">
        <v>41019</v>
      </c>
      <c r="L27" s="46">
        <v>41229</v>
      </c>
      <c r="M27" s="38" t="s">
        <v>26</v>
      </c>
      <c r="N27" s="42" t="s">
        <v>68</v>
      </c>
    </row>
    <row r="28" spans="1:14" s="4" customFormat="1" ht="49.5" customHeight="1">
      <c r="A28" s="35">
        <f t="shared" si="1"/>
        <v>26</v>
      </c>
      <c r="B28" s="36" t="s">
        <v>63</v>
      </c>
      <c r="C28" s="36" t="s">
        <v>64</v>
      </c>
      <c r="D28" s="36" t="s">
        <v>65</v>
      </c>
      <c r="E28" s="37">
        <f>47533.89+15844.63+15844.63</f>
        <v>79223.15</v>
      </c>
      <c r="F28" s="37">
        <v>0</v>
      </c>
      <c r="G28" s="37">
        <f t="shared" si="0"/>
        <v>79223.15</v>
      </c>
      <c r="H28" s="38" t="s">
        <v>264</v>
      </c>
      <c r="I28" s="39">
        <v>47533.89</v>
      </c>
      <c r="J28" s="39">
        <v>47533.89</v>
      </c>
      <c r="K28" s="46">
        <v>39814</v>
      </c>
      <c r="L28" s="46" t="s">
        <v>67</v>
      </c>
      <c r="M28" s="38" t="s">
        <v>26</v>
      </c>
      <c r="N28" s="42" t="s">
        <v>68</v>
      </c>
    </row>
    <row r="29" spans="1:14" s="4" customFormat="1" ht="49.5" customHeight="1">
      <c r="A29" s="35">
        <f t="shared" si="1"/>
        <v>27</v>
      </c>
      <c r="B29" s="36" t="s">
        <v>63</v>
      </c>
      <c r="C29" s="36" t="s">
        <v>64</v>
      </c>
      <c r="D29" s="36" t="s">
        <v>69</v>
      </c>
      <c r="E29" s="37">
        <v>0</v>
      </c>
      <c r="F29" s="37">
        <v>0</v>
      </c>
      <c r="G29" s="37">
        <f t="shared" si="0"/>
        <v>0</v>
      </c>
      <c r="H29" s="38" t="s">
        <v>264</v>
      </c>
      <c r="I29" s="39">
        <f>2880+6720</f>
        <v>9600</v>
      </c>
      <c r="J29" s="39">
        <f>7600+2000</f>
        <v>9600</v>
      </c>
      <c r="K29" s="46">
        <v>40303</v>
      </c>
      <c r="L29" s="46" t="s">
        <v>67</v>
      </c>
      <c r="M29" s="38" t="s">
        <v>26</v>
      </c>
      <c r="N29" s="42" t="s">
        <v>68</v>
      </c>
    </row>
    <row r="30" spans="1:14" s="4" customFormat="1" ht="49.5" customHeight="1">
      <c r="A30" s="35">
        <f t="shared" si="1"/>
        <v>28</v>
      </c>
      <c r="B30" s="36" t="s">
        <v>63</v>
      </c>
      <c r="C30" s="36" t="s">
        <v>64</v>
      </c>
      <c r="D30" s="36" t="s">
        <v>263</v>
      </c>
      <c r="E30" s="37">
        <f>1281.93+4497.1</f>
        <v>5779.030000000001</v>
      </c>
      <c r="F30" s="37">
        <v>0</v>
      </c>
      <c r="G30" s="37">
        <f t="shared" si="0"/>
        <v>5779.030000000001</v>
      </c>
      <c r="H30" s="38" t="s">
        <v>264</v>
      </c>
      <c r="I30" s="39">
        <v>5779.03</v>
      </c>
      <c r="J30" s="39">
        <v>0</v>
      </c>
      <c r="K30" s="46">
        <v>39600</v>
      </c>
      <c r="L30" s="46">
        <v>41274</v>
      </c>
      <c r="M30" s="38" t="s">
        <v>26</v>
      </c>
      <c r="N30" s="42" t="s">
        <v>68</v>
      </c>
    </row>
    <row r="31" spans="1:14" s="4" customFormat="1" ht="49.5" customHeight="1">
      <c r="A31" s="35">
        <f t="shared" si="1"/>
        <v>29</v>
      </c>
      <c r="B31" s="36" t="s">
        <v>63</v>
      </c>
      <c r="C31" s="36" t="s">
        <v>70</v>
      </c>
      <c r="D31" s="36" t="s">
        <v>71</v>
      </c>
      <c r="E31" s="37">
        <v>0</v>
      </c>
      <c r="F31" s="37">
        <v>0</v>
      </c>
      <c r="G31" s="37">
        <f t="shared" si="0"/>
        <v>0</v>
      </c>
      <c r="H31" s="38" t="s">
        <v>72</v>
      </c>
      <c r="I31" s="39">
        <v>70000</v>
      </c>
      <c r="J31" s="39">
        <v>70000</v>
      </c>
      <c r="K31" s="46">
        <v>40540</v>
      </c>
      <c r="L31" s="46">
        <v>40724</v>
      </c>
      <c r="M31" s="38" t="s">
        <v>26</v>
      </c>
      <c r="N31" s="42" t="s">
        <v>68</v>
      </c>
    </row>
    <row r="32" spans="1:14" s="4" customFormat="1" ht="49.5" customHeight="1">
      <c r="A32" s="35">
        <f t="shared" si="1"/>
        <v>30</v>
      </c>
      <c r="B32" s="36" t="s">
        <v>63</v>
      </c>
      <c r="C32" s="36" t="s">
        <v>70</v>
      </c>
      <c r="D32" s="36" t="s">
        <v>73</v>
      </c>
      <c r="E32" s="37">
        <v>0</v>
      </c>
      <c r="F32" s="37">
        <v>0</v>
      </c>
      <c r="G32" s="37">
        <f t="shared" si="0"/>
        <v>0</v>
      </c>
      <c r="H32" s="38" t="s">
        <v>74</v>
      </c>
      <c r="I32" s="39">
        <v>60000</v>
      </c>
      <c r="J32" s="39">
        <v>60000</v>
      </c>
      <c r="K32" s="46">
        <v>40540</v>
      </c>
      <c r="L32" s="46">
        <v>40724</v>
      </c>
      <c r="M32" s="38" t="s">
        <v>26</v>
      </c>
      <c r="N32" s="42" t="s">
        <v>68</v>
      </c>
    </row>
    <row r="33" spans="1:14" s="4" customFormat="1" ht="49.5" customHeight="1">
      <c r="A33" s="35">
        <f t="shared" si="1"/>
        <v>31</v>
      </c>
      <c r="B33" s="36" t="s">
        <v>63</v>
      </c>
      <c r="C33" s="36" t="s">
        <v>75</v>
      </c>
      <c r="D33" s="36" t="s">
        <v>76</v>
      </c>
      <c r="E33" s="37">
        <v>0</v>
      </c>
      <c r="F33" s="37">
        <v>0</v>
      </c>
      <c r="G33" s="37">
        <f t="shared" si="0"/>
        <v>0</v>
      </c>
      <c r="H33" s="38" t="s">
        <v>77</v>
      </c>
      <c r="I33" s="39">
        <v>630000</v>
      </c>
      <c r="J33" s="39">
        <v>630000</v>
      </c>
      <c r="K33" s="46">
        <v>40599</v>
      </c>
      <c r="L33" s="46">
        <v>40908</v>
      </c>
      <c r="M33" s="38" t="s">
        <v>26</v>
      </c>
      <c r="N33" s="42" t="s">
        <v>68</v>
      </c>
    </row>
    <row r="34" spans="1:14" s="4" customFormat="1" ht="49.5" customHeight="1">
      <c r="A34" s="35">
        <f t="shared" si="1"/>
        <v>32</v>
      </c>
      <c r="B34" s="36" t="s">
        <v>63</v>
      </c>
      <c r="C34" s="36" t="s">
        <v>75</v>
      </c>
      <c r="D34" s="36" t="s">
        <v>78</v>
      </c>
      <c r="E34" s="37">
        <v>105000</v>
      </c>
      <c r="F34" s="37">
        <v>0</v>
      </c>
      <c r="G34" s="37">
        <f t="shared" si="0"/>
        <v>105000</v>
      </c>
      <c r="H34" s="38" t="s">
        <v>79</v>
      </c>
      <c r="I34" s="39">
        <v>630000</v>
      </c>
      <c r="J34" s="39">
        <v>525000</v>
      </c>
      <c r="K34" s="46">
        <v>40751</v>
      </c>
      <c r="L34" s="46">
        <v>40908</v>
      </c>
      <c r="M34" s="38" t="s">
        <v>26</v>
      </c>
      <c r="N34" s="42" t="s">
        <v>68</v>
      </c>
    </row>
    <row r="35" spans="1:14" s="4" customFormat="1" ht="49.5" customHeight="1">
      <c r="A35" s="35">
        <f t="shared" si="1"/>
        <v>33</v>
      </c>
      <c r="B35" s="36" t="s">
        <v>63</v>
      </c>
      <c r="C35" s="36" t="s">
        <v>75</v>
      </c>
      <c r="D35" s="36" t="s">
        <v>265</v>
      </c>
      <c r="E35" s="37">
        <f>105000+105000+105000</f>
        <v>315000</v>
      </c>
      <c r="F35" s="37">
        <v>0</v>
      </c>
      <c r="G35" s="37">
        <f t="shared" si="0"/>
        <v>315000</v>
      </c>
      <c r="H35" s="38" t="s">
        <v>266</v>
      </c>
      <c r="I35" s="39">
        <v>315000</v>
      </c>
      <c r="J35" s="39">
        <v>0</v>
      </c>
      <c r="K35" s="46">
        <v>40977</v>
      </c>
      <c r="L35" s="46">
        <v>41271</v>
      </c>
      <c r="M35" s="38" t="s">
        <v>26</v>
      </c>
      <c r="N35" s="42" t="s">
        <v>68</v>
      </c>
    </row>
    <row r="36" spans="1:14" s="4" customFormat="1" ht="49.5" customHeight="1">
      <c r="A36" s="35">
        <f t="shared" si="1"/>
        <v>34</v>
      </c>
      <c r="B36" s="36" t="s">
        <v>63</v>
      </c>
      <c r="C36" s="36" t="s">
        <v>70</v>
      </c>
      <c r="D36" s="36" t="s">
        <v>299</v>
      </c>
      <c r="E36" s="37">
        <v>200000</v>
      </c>
      <c r="F36" s="37">
        <v>0</v>
      </c>
      <c r="G36" s="37">
        <f t="shared" si="0"/>
        <v>200000</v>
      </c>
      <c r="H36" s="38" t="s">
        <v>300</v>
      </c>
      <c r="I36" s="39">
        <v>200000</v>
      </c>
      <c r="J36" s="39">
        <v>0</v>
      </c>
      <c r="K36" s="46">
        <v>41086</v>
      </c>
      <c r="L36" s="46">
        <v>41271</v>
      </c>
      <c r="M36" s="38" t="s">
        <v>26</v>
      </c>
      <c r="N36" s="42" t="s">
        <v>68</v>
      </c>
    </row>
    <row r="37" spans="1:14" s="4" customFormat="1" ht="49.5" customHeight="1">
      <c r="A37" s="35">
        <f t="shared" si="1"/>
        <v>35</v>
      </c>
      <c r="B37" s="36" t="s">
        <v>63</v>
      </c>
      <c r="C37" s="36" t="s">
        <v>301</v>
      </c>
      <c r="D37" s="36" t="s">
        <v>302</v>
      </c>
      <c r="E37" s="37">
        <v>360000</v>
      </c>
      <c r="F37" s="37">
        <v>0</v>
      </c>
      <c r="G37" s="37">
        <f t="shared" si="0"/>
        <v>360000</v>
      </c>
      <c r="H37" s="38" t="s">
        <v>303</v>
      </c>
      <c r="I37" s="39">
        <v>400000</v>
      </c>
      <c r="J37" s="39">
        <v>0</v>
      </c>
      <c r="K37" s="46">
        <v>41087</v>
      </c>
      <c r="L37" s="46">
        <v>41271</v>
      </c>
      <c r="M37" s="38" t="s">
        <v>26</v>
      </c>
      <c r="N37" s="42" t="s">
        <v>68</v>
      </c>
    </row>
    <row r="38" spans="1:14" s="4" customFormat="1" ht="49.5" customHeight="1">
      <c r="A38" s="35">
        <f t="shared" si="1"/>
        <v>36</v>
      </c>
      <c r="B38" s="36" t="s">
        <v>63</v>
      </c>
      <c r="C38" s="36" t="s">
        <v>75</v>
      </c>
      <c r="D38" s="36" t="s">
        <v>320</v>
      </c>
      <c r="E38" s="37">
        <f>420000+105000</f>
        <v>525000</v>
      </c>
      <c r="F38" s="37">
        <v>0</v>
      </c>
      <c r="G38" s="37">
        <f t="shared" si="0"/>
        <v>525000</v>
      </c>
      <c r="H38" s="38" t="s">
        <v>321</v>
      </c>
      <c r="I38" s="39">
        <v>945000</v>
      </c>
      <c r="J38" s="39">
        <v>0</v>
      </c>
      <c r="K38" s="46">
        <v>41081</v>
      </c>
      <c r="L38" s="46">
        <v>41271</v>
      </c>
      <c r="M38" s="38" t="s">
        <v>26</v>
      </c>
      <c r="N38" s="42" t="s">
        <v>68</v>
      </c>
    </row>
    <row r="39" spans="1:14" s="4" customFormat="1" ht="49.5" customHeight="1">
      <c r="A39" s="35">
        <f t="shared" si="1"/>
        <v>37</v>
      </c>
      <c r="B39" s="36" t="s">
        <v>80</v>
      </c>
      <c r="C39" s="36" t="s">
        <v>81</v>
      </c>
      <c r="D39" s="36" t="s">
        <v>82</v>
      </c>
      <c r="E39" s="37">
        <v>0</v>
      </c>
      <c r="F39" s="37">
        <v>0</v>
      </c>
      <c r="G39" s="37">
        <f t="shared" si="0"/>
        <v>0</v>
      </c>
      <c r="H39" s="38" t="s">
        <v>83</v>
      </c>
      <c r="I39" s="39">
        <v>126000</v>
      </c>
      <c r="J39" s="39">
        <f>66036+47363</f>
        <v>113399</v>
      </c>
      <c r="K39" s="46">
        <v>39071</v>
      </c>
      <c r="L39" s="46" t="s">
        <v>84</v>
      </c>
      <c r="M39" s="38" t="s">
        <v>26</v>
      </c>
      <c r="N39" s="42" t="s">
        <v>27</v>
      </c>
    </row>
    <row r="40" spans="1:14" s="4" customFormat="1" ht="49.5" customHeight="1">
      <c r="A40" s="35">
        <f t="shared" si="1"/>
        <v>38</v>
      </c>
      <c r="B40" s="36" t="s">
        <v>85</v>
      </c>
      <c r="C40" s="36" t="s">
        <v>86</v>
      </c>
      <c r="D40" s="36" t="s">
        <v>87</v>
      </c>
      <c r="E40" s="37">
        <f>8732.91+45419.87+16466.7+27317.93+17214.98+10475.5+8869.4</f>
        <v>134497.29</v>
      </c>
      <c r="F40" s="37">
        <v>0</v>
      </c>
      <c r="G40" s="37">
        <f t="shared" si="0"/>
        <v>134497.29</v>
      </c>
      <c r="H40" s="44" t="s">
        <v>88</v>
      </c>
      <c r="I40" s="45">
        <v>85000</v>
      </c>
      <c r="J40" s="45">
        <v>0</v>
      </c>
      <c r="K40" s="46">
        <v>38611</v>
      </c>
      <c r="L40" s="46" t="s">
        <v>67</v>
      </c>
      <c r="M40" s="46" t="s">
        <v>26</v>
      </c>
      <c r="N40" s="42" t="s">
        <v>27</v>
      </c>
    </row>
    <row r="41" spans="1:14" s="4" customFormat="1" ht="49.5" customHeight="1">
      <c r="A41" s="35">
        <f t="shared" si="1"/>
        <v>39</v>
      </c>
      <c r="B41" s="36" t="s">
        <v>89</v>
      </c>
      <c r="C41" s="36" t="s">
        <v>90</v>
      </c>
      <c r="D41" s="36" t="s">
        <v>91</v>
      </c>
      <c r="E41" s="39">
        <v>0</v>
      </c>
      <c r="F41" s="37">
        <v>0</v>
      </c>
      <c r="G41" s="37">
        <f t="shared" si="0"/>
        <v>0</v>
      </c>
      <c r="H41" s="44" t="s">
        <v>92</v>
      </c>
      <c r="I41" s="45">
        <v>292500</v>
      </c>
      <c r="J41" s="45">
        <v>292500</v>
      </c>
      <c r="K41" s="46">
        <v>40350</v>
      </c>
      <c r="L41" s="46">
        <v>40775</v>
      </c>
      <c r="M41" s="46" t="s">
        <v>26</v>
      </c>
      <c r="N41" s="42" t="s">
        <v>27</v>
      </c>
    </row>
    <row r="42" spans="1:14" s="4" customFormat="1" ht="49.5" customHeight="1">
      <c r="A42" s="35">
        <f t="shared" si="1"/>
        <v>40</v>
      </c>
      <c r="B42" s="36" t="s">
        <v>89</v>
      </c>
      <c r="C42" s="36" t="s">
        <v>322</v>
      </c>
      <c r="D42" s="36" t="s">
        <v>323</v>
      </c>
      <c r="E42" s="39">
        <v>292500</v>
      </c>
      <c r="F42" s="37">
        <v>0</v>
      </c>
      <c r="G42" s="37">
        <f t="shared" si="0"/>
        <v>292500</v>
      </c>
      <c r="H42" s="44" t="s">
        <v>324</v>
      </c>
      <c r="I42" s="45">
        <v>292500</v>
      </c>
      <c r="J42" s="45">
        <v>0</v>
      </c>
      <c r="K42" s="46">
        <v>41061</v>
      </c>
      <c r="L42" s="46">
        <v>41274</v>
      </c>
      <c r="M42" s="46" t="s">
        <v>26</v>
      </c>
      <c r="N42" s="42" t="s">
        <v>27</v>
      </c>
    </row>
    <row r="43" spans="1:14" s="4" customFormat="1" ht="49.5" customHeight="1">
      <c r="A43" s="35">
        <f t="shared" si="1"/>
        <v>41</v>
      </c>
      <c r="B43" s="36" t="s">
        <v>93</v>
      </c>
      <c r="C43" s="36" t="s">
        <v>94</v>
      </c>
      <c r="D43" s="36" t="s">
        <v>95</v>
      </c>
      <c r="E43" s="37">
        <f>179904+359808+179904+205932+205932+205932</f>
        <v>1337412</v>
      </c>
      <c r="F43" s="37">
        <v>0</v>
      </c>
      <c r="G43" s="37">
        <f t="shared" si="0"/>
        <v>1337412</v>
      </c>
      <c r="H43" s="38" t="s">
        <v>96</v>
      </c>
      <c r="I43" s="39">
        <v>1803960</v>
      </c>
      <c r="J43" s="39">
        <v>0</v>
      </c>
      <c r="K43" s="46">
        <v>40544</v>
      </c>
      <c r="L43" s="46">
        <v>40908</v>
      </c>
      <c r="M43" s="46" t="s">
        <v>26</v>
      </c>
      <c r="N43" s="42" t="s">
        <v>68</v>
      </c>
    </row>
    <row r="44" spans="1:14" s="4" customFormat="1" ht="49.5" customHeight="1">
      <c r="A44" s="35">
        <f t="shared" si="1"/>
        <v>42</v>
      </c>
      <c r="B44" s="36" t="s">
        <v>93</v>
      </c>
      <c r="C44" s="36" t="s">
        <v>97</v>
      </c>
      <c r="D44" s="36" t="s">
        <v>97</v>
      </c>
      <c r="E44" s="37">
        <f>49674.78+13.72+24823.67+24837.39+24837.39+24837.39</f>
        <v>149024.34</v>
      </c>
      <c r="F44" s="37">
        <v>0</v>
      </c>
      <c r="G44" s="37">
        <f t="shared" si="0"/>
        <v>149024.34</v>
      </c>
      <c r="H44" s="38" t="s">
        <v>98</v>
      </c>
      <c r="I44" s="39">
        <v>232427</v>
      </c>
      <c r="J44" s="39">
        <v>0</v>
      </c>
      <c r="K44" s="46">
        <v>40544</v>
      </c>
      <c r="L44" s="46">
        <v>40908</v>
      </c>
      <c r="M44" s="46" t="s">
        <v>26</v>
      </c>
      <c r="N44" s="42" t="s">
        <v>68</v>
      </c>
    </row>
    <row r="45" spans="1:14" s="4" customFormat="1" ht="49.5" customHeight="1">
      <c r="A45" s="35">
        <f t="shared" si="1"/>
        <v>43</v>
      </c>
      <c r="B45" s="36" t="s">
        <v>93</v>
      </c>
      <c r="C45" s="36" t="s">
        <v>99</v>
      </c>
      <c r="D45" s="36" t="s">
        <v>100</v>
      </c>
      <c r="E45" s="37">
        <f>605.5+563</f>
        <v>1168.5</v>
      </c>
      <c r="F45" s="37">
        <v>0</v>
      </c>
      <c r="G45" s="37">
        <f t="shared" si="0"/>
        <v>1168.5</v>
      </c>
      <c r="H45" s="38" t="s">
        <v>101</v>
      </c>
      <c r="I45" s="39">
        <v>12756.3</v>
      </c>
      <c r="J45" s="39">
        <v>12756.3</v>
      </c>
      <c r="K45" s="46">
        <v>40544</v>
      </c>
      <c r="L45" s="46">
        <v>40908</v>
      </c>
      <c r="M45" s="38" t="s">
        <v>26</v>
      </c>
      <c r="N45" s="42" t="s">
        <v>68</v>
      </c>
    </row>
    <row r="46" spans="1:14" s="4" customFormat="1" ht="49.5" customHeight="1">
      <c r="A46" s="35">
        <f t="shared" si="1"/>
        <v>44</v>
      </c>
      <c r="B46" s="36" t="s">
        <v>93</v>
      </c>
      <c r="C46" s="36" t="s">
        <v>102</v>
      </c>
      <c r="D46" s="36" t="s">
        <v>103</v>
      </c>
      <c r="E46" s="37">
        <v>8077.13</v>
      </c>
      <c r="F46" s="37">
        <v>0</v>
      </c>
      <c r="G46" s="37">
        <f t="shared" si="0"/>
        <v>8077.13</v>
      </c>
      <c r="H46" s="38" t="s">
        <v>104</v>
      </c>
      <c r="I46" s="39">
        <v>10750</v>
      </c>
      <c r="J46" s="39">
        <v>0</v>
      </c>
      <c r="K46" s="46">
        <v>40070</v>
      </c>
      <c r="L46" s="46" t="s">
        <v>67</v>
      </c>
      <c r="M46" s="38" t="s">
        <v>26</v>
      </c>
      <c r="N46" s="42" t="s">
        <v>27</v>
      </c>
    </row>
    <row r="47" spans="1:14" s="4" customFormat="1" ht="49.5" customHeight="1">
      <c r="A47" s="35">
        <f t="shared" si="1"/>
        <v>45</v>
      </c>
      <c r="B47" s="36" t="s">
        <v>93</v>
      </c>
      <c r="C47" s="36" t="s">
        <v>105</v>
      </c>
      <c r="D47" s="36" t="s">
        <v>106</v>
      </c>
      <c r="E47" s="47">
        <v>0</v>
      </c>
      <c r="F47" s="37">
        <v>0</v>
      </c>
      <c r="G47" s="37">
        <f t="shared" si="0"/>
        <v>0</v>
      </c>
      <c r="H47" s="38" t="s">
        <v>107</v>
      </c>
      <c r="I47" s="39">
        <v>1276275.58</v>
      </c>
      <c r="J47" s="39">
        <v>255255.12</v>
      </c>
      <c r="K47" s="46">
        <v>40725</v>
      </c>
      <c r="L47" s="46">
        <v>41274</v>
      </c>
      <c r="M47" s="38" t="s">
        <v>26</v>
      </c>
      <c r="N47" s="42" t="s">
        <v>27</v>
      </c>
    </row>
    <row r="48" spans="1:15" s="7" customFormat="1" ht="49.5" customHeight="1">
      <c r="A48" s="35">
        <f t="shared" si="1"/>
        <v>46</v>
      </c>
      <c r="B48" s="36" t="s">
        <v>93</v>
      </c>
      <c r="C48" s="36" t="s">
        <v>105</v>
      </c>
      <c r="D48" s="36" t="s">
        <v>108</v>
      </c>
      <c r="E48" s="47">
        <v>0</v>
      </c>
      <c r="F48" s="37">
        <v>0</v>
      </c>
      <c r="G48" s="37">
        <f t="shared" si="0"/>
        <v>0</v>
      </c>
      <c r="H48" s="38" t="s">
        <v>109</v>
      </c>
      <c r="I48" s="39">
        <v>1316838.4</v>
      </c>
      <c r="J48" s="39">
        <v>263367.68</v>
      </c>
      <c r="K48" s="46">
        <v>40544</v>
      </c>
      <c r="L48" s="46">
        <v>41274</v>
      </c>
      <c r="M48" s="38" t="s">
        <v>26</v>
      </c>
      <c r="N48" s="42" t="s">
        <v>27</v>
      </c>
      <c r="O48" s="4"/>
    </row>
    <row r="49" spans="1:15" s="7" customFormat="1" ht="49.5" customHeight="1">
      <c r="A49" s="35">
        <f t="shared" si="1"/>
        <v>47</v>
      </c>
      <c r="B49" s="36" t="s">
        <v>93</v>
      </c>
      <c r="C49" s="36" t="s">
        <v>228</v>
      </c>
      <c r="D49" s="36" t="s">
        <v>229</v>
      </c>
      <c r="E49" s="47">
        <f>96359.9+144539.86</f>
        <v>240899.75999999998</v>
      </c>
      <c r="F49" s="37">
        <v>0</v>
      </c>
      <c r="G49" s="37">
        <f t="shared" si="0"/>
        <v>240899.75999999998</v>
      </c>
      <c r="H49" s="38" t="s">
        <v>230</v>
      </c>
      <c r="I49" s="39">
        <v>481799.52</v>
      </c>
      <c r="J49" s="39">
        <v>0</v>
      </c>
      <c r="K49" s="46">
        <v>40725</v>
      </c>
      <c r="L49" s="46">
        <v>41274</v>
      </c>
      <c r="M49" s="38" t="s">
        <v>26</v>
      </c>
      <c r="N49" s="42" t="s">
        <v>27</v>
      </c>
      <c r="O49" s="4"/>
    </row>
    <row r="50" spans="1:15" s="7" customFormat="1" ht="49.5" customHeight="1">
      <c r="A50" s="35">
        <f t="shared" si="1"/>
        <v>48</v>
      </c>
      <c r="B50" s="36" t="s">
        <v>93</v>
      </c>
      <c r="C50" s="36" t="s">
        <v>110</v>
      </c>
      <c r="D50" s="36" t="s">
        <v>111</v>
      </c>
      <c r="E50" s="47">
        <v>214740</v>
      </c>
      <c r="F50" s="37">
        <v>0</v>
      </c>
      <c r="G50" s="37">
        <f t="shared" si="0"/>
        <v>214740</v>
      </c>
      <c r="H50" s="38" t="s">
        <v>112</v>
      </c>
      <c r="I50" s="39">
        <v>644220</v>
      </c>
      <c r="J50" s="39">
        <v>0</v>
      </c>
      <c r="K50" s="46">
        <v>40909</v>
      </c>
      <c r="L50" s="46">
        <v>41639</v>
      </c>
      <c r="M50" s="38" t="s">
        <v>113</v>
      </c>
      <c r="N50" s="42" t="s">
        <v>27</v>
      </c>
      <c r="O50" s="4"/>
    </row>
    <row r="51" spans="1:15" s="7" customFormat="1" ht="49.5" customHeight="1">
      <c r="A51" s="35">
        <f t="shared" si="1"/>
        <v>49</v>
      </c>
      <c r="B51" s="36" t="s">
        <v>93</v>
      </c>
      <c r="C51" s="36" t="s">
        <v>267</v>
      </c>
      <c r="D51" s="36" t="s">
        <v>268</v>
      </c>
      <c r="E51" s="47">
        <v>396871.2</v>
      </c>
      <c r="F51" s="37">
        <v>0</v>
      </c>
      <c r="G51" s="37">
        <f t="shared" si="0"/>
        <v>396871.2</v>
      </c>
      <c r="H51" s="38" t="s">
        <v>269</v>
      </c>
      <c r="I51" s="39">
        <v>0</v>
      </c>
      <c r="J51" s="39">
        <v>0</v>
      </c>
      <c r="K51" s="46">
        <v>40909</v>
      </c>
      <c r="L51" s="46">
        <v>41274</v>
      </c>
      <c r="M51" s="46" t="s">
        <v>26</v>
      </c>
      <c r="N51" s="42" t="s">
        <v>68</v>
      </c>
      <c r="O51" s="4"/>
    </row>
    <row r="52" spans="1:15" s="7" customFormat="1" ht="49.5" customHeight="1">
      <c r="A52" s="35">
        <f t="shared" si="1"/>
        <v>50</v>
      </c>
      <c r="B52" s="36" t="s">
        <v>114</v>
      </c>
      <c r="C52" s="36" t="s">
        <v>115</v>
      </c>
      <c r="D52" s="36" t="s">
        <v>116</v>
      </c>
      <c r="E52" s="37">
        <v>0</v>
      </c>
      <c r="F52" s="37">
        <v>0</v>
      </c>
      <c r="G52" s="37">
        <f t="shared" si="0"/>
        <v>0</v>
      </c>
      <c r="H52" s="38" t="s">
        <v>117</v>
      </c>
      <c r="I52" s="39">
        <v>120000</v>
      </c>
      <c r="J52" s="39">
        <v>120000</v>
      </c>
      <c r="K52" s="46">
        <v>39626</v>
      </c>
      <c r="L52" s="46">
        <v>40629</v>
      </c>
      <c r="M52" s="46" t="s">
        <v>26</v>
      </c>
      <c r="N52" s="42" t="s">
        <v>27</v>
      </c>
      <c r="O52" s="4"/>
    </row>
    <row r="53" spans="1:15" s="7" customFormat="1" ht="49.5" customHeight="1">
      <c r="A53" s="35">
        <f t="shared" si="1"/>
        <v>51</v>
      </c>
      <c r="B53" s="36" t="s">
        <v>118</v>
      </c>
      <c r="C53" s="36" t="s">
        <v>10</v>
      </c>
      <c r="D53" s="36" t="s">
        <v>119</v>
      </c>
      <c r="E53" s="37">
        <v>27319.22</v>
      </c>
      <c r="F53" s="37">
        <v>0</v>
      </c>
      <c r="G53" s="37">
        <f t="shared" si="0"/>
        <v>27319.22</v>
      </c>
      <c r="H53" s="38" t="s">
        <v>120</v>
      </c>
      <c r="I53" s="39">
        <v>50000</v>
      </c>
      <c r="J53" s="39">
        <v>27218.1</v>
      </c>
      <c r="K53" s="46">
        <v>40179</v>
      </c>
      <c r="L53" s="46" t="s">
        <v>67</v>
      </c>
      <c r="M53" s="38" t="s">
        <v>121</v>
      </c>
      <c r="N53" s="42" t="s">
        <v>27</v>
      </c>
      <c r="O53" s="4"/>
    </row>
    <row r="54" spans="1:15" s="7" customFormat="1" ht="49.5" customHeight="1">
      <c r="A54" s="35">
        <f t="shared" si="1"/>
        <v>52</v>
      </c>
      <c r="B54" s="36" t="s">
        <v>118</v>
      </c>
      <c r="C54" s="36" t="s">
        <v>10</v>
      </c>
      <c r="D54" s="36" t="s">
        <v>242</v>
      </c>
      <c r="E54" s="37">
        <f>6284.79+5879.32+5879.32+5879.32+6082.05+8665.02</f>
        <v>38669.82</v>
      </c>
      <c r="F54" s="37">
        <v>0</v>
      </c>
      <c r="G54" s="37">
        <f t="shared" si="0"/>
        <v>38669.82</v>
      </c>
      <c r="H54" s="38" t="s">
        <v>120</v>
      </c>
      <c r="I54" s="39">
        <v>50000</v>
      </c>
      <c r="J54" s="39">
        <v>27218.1</v>
      </c>
      <c r="K54" s="46">
        <v>40179</v>
      </c>
      <c r="L54" s="46" t="s">
        <v>67</v>
      </c>
      <c r="M54" s="38" t="s">
        <v>121</v>
      </c>
      <c r="N54" s="42" t="s">
        <v>27</v>
      </c>
      <c r="O54" s="4"/>
    </row>
    <row r="55" spans="1:15" s="7" customFormat="1" ht="49.5" customHeight="1">
      <c r="A55" s="35">
        <f t="shared" si="1"/>
        <v>53</v>
      </c>
      <c r="B55" s="36" t="s">
        <v>118</v>
      </c>
      <c r="C55" s="36" t="s">
        <v>10</v>
      </c>
      <c r="D55" s="36" t="s">
        <v>122</v>
      </c>
      <c r="E55" s="37">
        <v>0</v>
      </c>
      <c r="F55" s="37">
        <v>0</v>
      </c>
      <c r="G55" s="37">
        <f t="shared" si="0"/>
        <v>0</v>
      </c>
      <c r="H55" s="38" t="s">
        <v>123</v>
      </c>
      <c r="I55" s="39">
        <v>2950</v>
      </c>
      <c r="J55" s="39">
        <v>2950</v>
      </c>
      <c r="K55" s="46">
        <v>40118</v>
      </c>
      <c r="L55" s="46" t="s">
        <v>67</v>
      </c>
      <c r="M55" s="38" t="s">
        <v>26</v>
      </c>
      <c r="N55" s="42" t="s">
        <v>27</v>
      </c>
      <c r="O55" s="4"/>
    </row>
    <row r="56" spans="1:15" s="7" customFormat="1" ht="49.5" customHeight="1">
      <c r="A56" s="35">
        <f t="shared" si="1"/>
        <v>54</v>
      </c>
      <c r="B56" s="36" t="s">
        <v>118</v>
      </c>
      <c r="C56" s="36" t="s">
        <v>10</v>
      </c>
      <c r="D56" s="36" t="s">
        <v>124</v>
      </c>
      <c r="E56" s="37">
        <v>0</v>
      </c>
      <c r="F56" s="37">
        <v>0</v>
      </c>
      <c r="G56" s="37">
        <f t="shared" si="0"/>
        <v>0</v>
      </c>
      <c r="H56" s="38" t="s">
        <v>123</v>
      </c>
      <c r="I56" s="39">
        <v>900</v>
      </c>
      <c r="J56" s="39">
        <v>925</v>
      </c>
      <c r="K56" s="46">
        <v>40179</v>
      </c>
      <c r="L56" s="46" t="s">
        <v>67</v>
      </c>
      <c r="M56" s="38" t="s">
        <v>26</v>
      </c>
      <c r="N56" s="42" t="s">
        <v>27</v>
      </c>
      <c r="O56" s="4"/>
    </row>
    <row r="57" spans="1:15" s="7" customFormat="1" ht="49.5" customHeight="1">
      <c r="A57" s="35">
        <f t="shared" si="1"/>
        <v>55</v>
      </c>
      <c r="B57" s="36" t="s">
        <v>118</v>
      </c>
      <c r="C57" s="36" t="s">
        <v>10</v>
      </c>
      <c r="D57" s="36" t="s">
        <v>125</v>
      </c>
      <c r="E57" s="37">
        <v>9000</v>
      </c>
      <c r="F57" s="37">
        <v>0</v>
      </c>
      <c r="G57" s="37">
        <f t="shared" si="0"/>
        <v>9000</v>
      </c>
      <c r="H57" s="38" t="s">
        <v>126</v>
      </c>
      <c r="I57" s="39">
        <v>108000</v>
      </c>
      <c r="J57" s="39">
        <v>99000</v>
      </c>
      <c r="K57" s="46">
        <v>40544</v>
      </c>
      <c r="L57" s="46" t="s">
        <v>67</v>
      </c>
      <c r="M57" s="38" t="s">
        <v>26</v>
      </c>
      <c r="N57" s="42" t="s">
        <v>27</v>
      </c>
      <c r="O57" s="4"/>
    </row>
    <row r="58" spans="1:15" s="7" customFormat="1" ht="49.5" customHeight="1">
      <c r="A58" s="35">
        <f t="shared" si="1"/>
        <v>56</v>
      </c>
      <c r="B58" s="36" t="s">
        <v>118</v>
      </c>
      <c r="C58" s="36" t="s">
        <v>10</v>
      </c>
      <c r="D58" s="36" t="s">
        <v>243</v>
      </c>
      <c r="E58" s="37">
        <f>9000+9000+9000+9000+9000+27000+18000+18000</f>
        <v>108000</v>
      </c>
      <c r="F58" s="37">
        <v>0</v>
      </c>
      <c r="G58" s="37">
        <f t="shared" si="0"/>
        <v>108000</v>
      </c>
      <c r="H58" s="38" t="s">
        <v>126</v>
      </c>
      <c r="I58" s="39">
        <v>108000</v>
      </c>
      <c r="J58" s="39">
        <v>0</v>
      </c>
      <c r="K58" s="46">
        <v>40544</v>
      </c>
      <c r="L58" s="46" t="s">
        <v>67</v>
      </c>
      <c r="M58" s="38" t="s">
        <v>26</v>
      </c>
      <c r="N58" s="42" t="s">
        <v>27</v>
      </c>
      <c r="O58" s="4"/>
    </row>
    <row r="59" spans="1:15" s="7" customFormat="1" ht="49.5" customHeight="1">
      <c r="A59" s="35">
        <f t="shared" si="1"/>
        <v>57</v>
      </c>
      <c r="B59" s="36" t="s">
        <v>118</v>
      </c>
      <c r="C59" s="36" t="s">
        <v>10</v>
      </c>
      <c r="D59" s="36" t="s">
        <v>127</v>
      </c>
      <c r="E59" s="37">
        <v>0</v>
      </c>
      <c r="F59" s="37">
        <v>0</v>
      </c>
      <c r="G59" s="37">
        <f t="shared" si="0"/>
        <v>0</v>
      </c>
      <c r="H59" s="38" t="s">
        <v>128</v>
      </c>
      <c r="I59" s="39">
        <v>6000</v>
      </c>
      <c r="J59" s="39">
        <v>6000</v>
      </c>
      <c r="K59" s="46">
        <v>39814</v>
      </c>
      <c r="L59" s="46" t="s">
        <v>67</v>
      </c>
      <c r="M59" s="38" t="s">
        <v>26</v>
      </c>
      <c r="N59" s="42" t="s">
        <v>27</v>
      </c>
      <c r="O59" s="4"/>
    </row>
    <row r="60" spans="1:15" s="7" customFormat="1" ht="49.5" customHeight="1">
      <c r="A60" s="35">
        <f t="shared" si="1"/>
        <v>58</v>
      </c>
      <c r="B60" s="36" t="s">
        <v>118</v>
      </c>
      <c r="C60" s="36" t="s">
        <v>10</v>
      </c>
      <c r="D60" s="36" t="s">
        <v>244</v>
      </c>
      <c r="E60" s="37">
        <v>8793</v>
      </c>
      <c r="F60" s="37">
        <v>0</v>
      </c>
      <c r="G60" s="37">
        <f t="shared" si="0"/>
        <v>8793</v>
      </c>
      <c r="H60" s="38" t="s">
        <v>130</v>
      </c>
      <c r="I60" s="39">
        <v>60300</v>
      </c>
      <c r="J60" s="39">
        <v>50561.25</v>
      </c>
      <c r="K60" s="46" t="s">
        <v>131</v>
      </c>
      <c r="L60" s="46" t="s">
        <v>67</v>
      </c>
      <c r="M60" s="38" t="s">
        <v>26</v>
      </c>
      <c r="N60" s="42" t="s">
        <v>27</v>
      </c>
      <c r="O60" s="4"/>
    </row>
    <row r="61" spans="1:15" s="7" customFormat="1" ht="49.5" customHeight="1">
      <c r="A61" s="35">
        <f t="shared" si="1"/>
        <v>59</v>
      </c>
      <c r="B61" s="36" t="s">
        <v>118</v>
      </c>
      <c r="C61" s="36" t="s">
        <v>10</v>
      </c>
      <c r="D61" s="36" t="s">
        <v>245</v>
      </c>
      <c r="E61" s="37">
        <f>5025+5025+5025+2512.5+2512.5+2512.5</f>
        <v>22612.5</v>
      </c>
      <c r="F61" s="37">
        <v>0</v>
      </c>
      <c r="G61" s="37">
        <f t="shared" si="0"/>
        <v>22612.5</v>
      </c>
      <c r="H61" s="38" t="s">
        <v>130</v>
      </c>
      <c r="I61" s="39">
        <v>60300</v>
      </c>
      <c r="J61" s="39">
        <v>0</v>
      </c>
      <c r="K61" s="46" t="s">
        <v>131</v>
      </c>
      <c r="L61" s="46" t="s">
        <v>67</v>
      </c>
      <c r="M61" s="38" t="s">
        <v>26</v>
      </c>
      <c r="N61" s="42" t="s">
        <v>27</v>
      </c>
      <c r="O61" s="4"/>
    </row>
    <row r="62" spans="1:15" s="7" customFormat="1" ht="49.5" customHeight="1">
      <c r="A62" s="35">
        <f t="shared" si="1"/>
        <v>60</v>
      </c>
      <c r="B62" s="36" t="s">
        <v>118</v>
      </c>
      <c r="C62" s="36" t="s">
        <v>10</v>
      </c>
      <c r="D62" s="36" t="s">
        <v>132</v>
      </c>
      <c r="E62" s="37">
        <f>1000</f>
        <v>1000</v>
      </c>
      <c r="F62" s="37">
        <v>0</v>
      </c>
      <c r="G62" s="37">
        <f t="shared" si="0"/>
        <v>1000</v>
      </c>
      <c r="H62" s="38" t="s">
        <v>133</v>
      </c>
      <c r="I62" s="39">
        <v>12000</v>
      </c>
      <c r="J62" s="39">
        <v>11000</v>
      </c>
      <c r="K62" s="46">
        <v>40544</v>
      </c>
      <c r="L62" s="46" t="s">
        <v>67</v>
      </c>
      <c r="M62" s="38" t="s">
        <v>26</v>
      </c>
      <c r="N62" s="42" t="s">
        <v>27</v>
      </c>
      <c r="O62" s="4"/>
    </row>
    <row r="63" spans="1:15" s="7" customFormat="1" ht="49.5" customHeight="1">
      <c r="A63" s="35">
        <f t="shared" si="1"/>
        <v>61</v>
      </c>
      <c r="B63" s="36" t="s">
        <v>118</v>
      </c>
      <c r="C63" s="36" t="s">
        <v>10</v>
      </c>
      <c r="D63" s="36" t="s">
        <v>246</v>
      </c>
      <c r="E63" s="37">
        <f>1000+1000+1000+1000+1000+1000+1000+1000</f>
        <v>8000</v>
      </c>
      <c r="F63" s="37">
        <v>0</v>
      </c>
      <c r="G63" s="37">
        <f t="shared" si="0"/>
        <v>8000</v>
      </c>
      <c r="H63" s="38" t="s">
        <v>133</v>
      </c>
      <c r="I63" s="39">
        <v>12000</v>
      </c>
      <c r="J63" s="39">
        <v>0</v>
      </c>
      <c r="K63" s="46">
        <v>40544</v>
      </c>
      <c r="L63" s="46" t="s">
        <v>67</v>
      </c>
      <c r="M63" s="38" t="s">
        <v>26</v>
      </c>
      <c r="N63" s="42" t="s">
        <v>27</v>
      </c>
      <c r="O63" s="4"/>
    </row>
    <row r="64" spans="1:15" s="7" customFormat="1" ht="49.5" customHeight="1">
      <c r="A64" s="35">
        <f t="shared" si="1"/>
        <v>62</v>
      </c>
      <c r="B64" s="36" t="s">
        <v>118</v>
      </c>
      <c r="C64" s="36" t="s">
        <v>15</v>
      </c>
      <c r="D64" s="36" t="s">
        <v>134</v>
      </c>
      <c r="E64" s="37">
        <f>9000+9000+9000+9000+9000+9000+9000+9000</f>
        <v>72000</v>
      </c>
      <c r="F64" s="37">
        <v>0</v>
      </c>
      <c r="G64" s="37">
        <f t="shared" si="0"/>
        <v>72000</v>
      </c>
      <c r="H64" s="38" t="s">
        <v>135</v>
      </c>
      <c r="I64" s="39">
        <v>108000</v>
      </c>
      <c r="J64" s="39">
        <v>0</v>
      </c>
      <c r="K64" s="46">
        <v>40544</v>
      </c>
      <c r="L64" s="46" t="s">
        <v>67</v>
      </c>
      <c r="M64" s="38" t="s">
        <v>26</v>
      </c>
      <c r="N64" s="42" t="s">
        <v>27</v>
      </c>
      <c r="O64" s="4"/>
    </row>
    <row r="65" spans="1:15" s="7" customFormat="1" ht="49.5" customHeight="1">
      <c r="A65" s="35">
        <f t="shared" si="1"/>
        <v>63</v>
      </c>
      <c r="B65" s="36" t="s">
        <v>118</v>
      </c>
      <c r="C65" s="36" t="s">
        <v>15</v>
      </c>
      <c r="D65" s="36" t="s">
        <v>247</v>
      </c>
      <c r="E65" s="37">
        <f>12500+14700+14700+14700+14700+14700</f>
        <v>86000</v>
      </c>
      <c r="F65" s="37">
        <v>0</v>
      </c>
      <c r="G65" s="37">
        <f t="shared" si="0"/>
        <v>86000</v>
      </c>
      <c r="H65" s="38" t="s">
        <v>137</v>
      </c>
      <c r="I65" s="39">
        <f>12500*12</f>
        <v>150000</v>
      </c>
      <c r="J65" s="39">
        <v>0</v>
      </c>
      <c r="K65" s="46">
        <v>40544</v>
      </c>
      <c r="L65" s="46" t="s">
        <v>67</v>
      </c>
      <c r="M65" s="38" t="s">
        <v>26</v>
      </c>
      <c r="N65" s="42" t="s">
        <v>27</v>
      </c>
      <c r="O65" s="4"/>
    </row>
    <row r="66" spans="1:15" s="7" customFormat="1" ht="49.5" customHeight="1">
      <c r="A66" s="35">
        <f t="shared" si="1"/>
        <v>64</v>
      </c>
      <c r="B66" s="36" t="s">
        <v>118</v>
      </c>
      <c r="C66" s="36" t="s">
        <v>15</v>
      </c>
      <c r="D66" s="36" t="s">
        <v>136</v>
      </c>
      <c r="E66" s="37">
        <v>10300</v>
      </c>
      <c r="F66" s="37">
        <v>0</v>
      </c>
      <c r="G66" s="37">
        <f t="shared" si="0"/>
        <v>10300</v>
      </c>
      <c r="H66" s="38" t="s">
        <v>137</v>
      </c>
      <c r="I66" s="39">
        <f>10300*12</f>
        <v>123600</v>
      </c>
      <c r="J66" s="39">
        <v>113300</v>
      </c>
      <c r="K66" s="46">
        <v>40544</v>
      </c>
      <c r="L66" s="46" t="s">
        <v>67</v>
      </c>
      <c r="M66" s="38" t="s">
        <v>26</v>
      </c>
      <c r="N66" s="42" t="s">
        <v>27</v>
      </c>
      <c r="O66" s="4"/>
    </row>
    <row r="67" spans="1:14" s="4" customFormat="1" ht="49.5" customHeight="1">
      <c r="A67" s="35">
        <f t="shared" si="1"/>
        <v>65</v>
      </c>
      <c r="B67" s="36" t="s">
        <v>118</v>
      </c>
      <c r="C67" s="36" t="s">
        <v>15</v>
      </c>
      <c r="D67" s="36" t="s">
        <v>138</v>
      </c>
      <c r="E67" s="37">
        <v>2200</v>
      </c>
      <c r="F67" s="37">
        <v>0</v>
      </c>
      <c r="G67" s="37">
        <f aca="true" t="shared" si="2" ref="G67:G105">E67+F67</f>
        <v>2200</v>
      </c>
      <c r="H67" s="38" t="s">
        <v>139</v>
      </c>
      <c r="I67" s="39">
        <v>26400</v>
      </c>
      <c r="J67" s="39">
        <f>11*2200</f>
        <v>24200</v>
      </c>
      <c r="K67" s="46">
        <v>40544</v>
      </c>
      <c r="L67" s="46" t="s">
        <v>67</v>
      </c>
      <c r="M67" s="38" t="s">
        <v>26</v>
      </c>
      <c r="N67" s="42" t="s">
        <v>27</v>
      </c>
    </row>
    <row r="68" spans="1:14" s="4" customFormat="1" ht="49.5" customHeight="1">
      <c r="A68" s="35">
        <f aca="true" t="shared" si="3" ref="A68:A105">A67+1</f>
        <v>66</v>
      </c>
      <c r="B68" s="36" t="s">
        <v>118</v>
      </c>
      <c r="C68" s="36" t="s">
        <v>15</v>
      </c>
      <c r="D68" s="36" t="s">
        <v>140</v>
      </c>
      <c r="E68" s="37">
        <f>2835</f>
        <v>2835</v>
      </c>
      <c r="F68" s="37">
        <v>0</v>
      </c>
      <c r="G68" s="37">
        <f t="shared" si="2"/>
        <v>2835</v>
      </c>
      <c r="H68" s="38" t="s">
        <v>141</v>
      </c>
      <c r="I68" s="39">
        <v>34020</v>
      </c>
      <c r="J68" s="39">
        <f>11*2835</f>
        <v>31185</v>
      </c>
      <c r="K68" s="46">
        <v>40544</v>
      </c>
      <c r="L68" s="46" t="s">
        <v>67</v>
      </c>
      <c r="M68" s="38" t="s">
        <v>26</v>
      </c>
      <c r="N68" s="42" t="s">
        <v>27</v>
      </c>
    </row>
    <row r="69" spans="1:14" s="4" customFormat="1" ht="49.5" customHeight="1">
      <c r="A69" s="35">
        <f t="shared" si="3"/>
        <v>67</v>
      </c>
      <c r="B69" s="36" t="s">
        <v>118</v>
      </c>
      <c r="C69" s="36" t="s">
        <v>15</v>
      </c>
      <c r="D69" s="36" t="s">
        <v>248</v>
      </c>
      <c r="E69" s="37">
        <f>2835+2835+2835+2835+2835+5670+2835</f>
        <v>22680</v>
      </c>
      <c r="F69" s="37">
        <v>0</v>
      </c>
      <c r="G69" s="37">
        <f t="shared" si="2"/>
        <v>22680</v>
      </c>
      <c r="H69" s="38" t="s">
        <v>141</v>
      </c>
      <c r="I69" s="39">
        <v>34020</v>
      </c>
      <c r="J69" s="39">
        <v>0</v>
      </c>
      <c r="K69" s="46">
        <v>40544</v>
      </c>
      <c r="L69" s="46" t="s">
        <v>67</v>
      </c>
      <c r="M69" s="38" t="s">
        <v>26</v>
      </c>
      <c r="N69" s="42" t="s">
        <v>27</v>
      </c>
    </row>
    <row r="70" spans="1:14" s="4" customFormat="1" ht="49.5" customHeight="1">
      <c r="A70" s="35">
        <f t="shared" si="3"/>
        <v>68</v>
      </c>
      <c r="B70" s="36" t="s">
        <v>118</v>
      </c>
      <c r="C70" s="36" t="s">
        <v>15</v>
      </c>
      <c r="D70" s="36" t="s">
        <v>234</v>
      </c>
      <c r="E70" s="37">
        <v>0</v>
      </c>
      <c r="F70" s="37">
        <v>0</v>
      </c>
      <c r="G70" s="37">
        <f t="shared" si="2"/>
        <v>0</v>
      </c>
      <c r="H70" s="38" t="s">
        <v>143</v>
      </c>
      <c r="I70" s="39">
        <v>12000</v>
      </c>
      <c r="J70" s="39">
        <v>1000</v>
      </c>
      <c r="K70" s="46">
        <v>40544</v>
      </c>
      <c r="L70" s="46" t="s">
        <v>67</v>
      </c>
      <c r="M70" s="38" t="s">
        <v>26</v>
      </c>
      <c r="N70" s="42" t="s">
        <v>27</v>
      </c>
    </row>
    <row r="71" spans="1:14" s="4" customFormat="1" ht="49.5" customHeight="1">
      <c r="A71" s="35">
        <f t="shared" si="3"/>
        <v>69</v>
      </c>
      <c r="B71" s="36" t="s">
        <v>118</v>
      </c>
      <c r="C71" s="36" t="s">
        <v>10</v>
      </c>
      <c r="D71" s="36" t="s">
        <v>144</v>
      </c>
      <c r="E71" s="37">
        <f>1903.88+1903.88</f>
        <v>3807.76</v>
      </c>
      <c r="F71" s="37">
        <v>0</v>
      </c>
      <c r="G71" s="37">
        <f t="shared" si="2"/>
        <v>3807.76</v>
      </c>
      <c r="H71" s="38" t="s">
        <v>145</v>
      </c>
      <c r="I71" s="39">
        <v>11450</v>
      </c>
      <c r="J71" s="39">
        <v>0</v>
      </c>
      <c r="K71" s="46">
        <v>40544</v>
      </c>
      <c r="L71" s="46" t="s">
        <v>67</v>
      </c>
      <c r="M71" s="38" t="s">
        <v>26</v>
      </c>
      <c r="N71" s="42" t="s">
        <v>27</v>
      </c>
    </row>
    <row r="72" spans="1:14" s="4" customFormat="1" ht="49.5" customHeight="1">
      <c r="A72" s="35">
        <f t="shared" si="3"/>
        <v>70</v>
      </c>
      <c r="B72" s="36" t="s">
        <v>118</v>
      </c>
      <c r="C72" s="36" t="s">
        <v>10</v>
      </c>
      <c r="D72" s="36" t="s">
        <v>249</v>
      </c>
      <c r="E72" s="37">
        <f>1113.57+1113.57+1113.57+1113.57+3017.45+1113.57+999.86+999.86</f>
        <v>10585.02</v>
      </c>
      <c r="F72" s="37">
        <v>0</v>
      </c>
      <c r="G72" s="37">
        <f t="shared" si="2"/>
        <v>10585.02</v>
      </c>
      <c r="H72" s="38" t="s">
        <v>145</v>
      </c>
      <c r="I72" s="39">
        <v>11450</v>
      </c>
      <c r="J72" s="39">
        <v>0</v>
      </c>
      <c r="K72" s="46">
        <v>40544</v>
      </c>
      <c r="L72" s="46" t="s">
        <v>67</v>
      </c>
      <c r="M72" s="38" t="s">
        <v>26</v>
      </c>
      <c r="N72" s="42" t="s">
        <v>27</v>
      </c>
    </row>
    <row r="73" spans="1:14" s="4" customFormat="1" ht="49.5" customHeight="1">
      <c r="A73" s="35">
        <f t="shared" si="3"/>
        <v>71</v>
      </c>
      <c r="B73" s="36" t="s">
        <v>118</v>
      </c>
      <c r="C73" s="36" t="s">
        <v>146</v>
      </c>
      <c r="D73" s="36" t="s">
        <v>147</v>
      </c>
      <c r="E73" s="37">
        <v>0</v>
      </c>
      <c r="F73" s="37">
        <v>0</v>
      </c>
      <c r="G73" s="37">
        <f t="shared" si="2"/>
        <v>0</v>
      </c>
      <c r="H73" s="38" t="s">
        <v>148</v>
      </c>
      <c r="I73" s="39">
        <v>480000</v>
      </c>
      <c r="J73" s="39">
        <v>480000</v>
      </c>
      <c r="K73" s="46">
        <v>40141</v>
      </c>
      <c r="L73" s="46">
        <v>41049</v>
      </c>
      <c r="M73" s="38" t="s">
        <v>26</v>
      </c>
      <c r="N73" s="42" t="s">
        <v>27</v>
      </c>
    </row>
    <row r="74" spans="1:14" s="4" customFormat="1" ht="49.5" customHeight="1">
      <c r="A74" s="35">
        <f t="shared" si="3"/>
        <v>72</v>
      </c>
      <c r="B74" s="36" t="s">
        <v>149</v>
      </c>
      <c r="C74" s="36" t="s">
        <v>150</v>
      </c>
      <c r="D74" s="36" t="s">
        <v>151</v>
      </c>
      <c r="E74" s="37">
        <v>0</v>
      </c>
      <c r="F74" s="37">
        <v>0</v>
      </c>
      <c r="G74" s="37">
        <f t="shared" si="2"/>
        <v>0</v>
      </c>
      <c r="H74" s="38" t="s">
        <v>152</v>
      </c>
      <c r="I74" s="39">
        <v>1800000</v>
      </c>
      <c r="J74" s="39">
        <v>1080000</v>
      </c>
      <c r="K74" s="46">
        <v>40638</v>
      </c>
      <c r="L74" s="46">
        <v>41002</v>
      </c>
      <c r="M74" s="38" t="s">
        <v>26</v>
      </c>
      <c r="N74" s="42" t="s">
        <v>68</v>
      </c>
    </row>
    <row r="75" spans="1:14" s="4" customFormat="1" ht="49.5" customHeight="1">
      <c r="A75" s="35">
        <f t="shared" si="3"/>
        <v>73</v>
      </c>
      <c r="B75" s="36" t="s">
        <v>153</v>
      </c>
      <c r="C75" s="36" t="s">
        <v>154</v>
      </c>
      <c r="D75" s="36" t="s">
        <v>155</v>
      </c>
      <c r="E75" s="37">
        <v>0</v>
      </c>
      <c r="F75" s="37">
        <v>0</v>
      </c>
      <c r="G75" s="37">
        <f t="shared" si="2"/>
        <v>0</v>
      </c>
      <c r="H75" s="38" t="s">
        <v>156</v>
      </c>
      <c r="I75" s="39">
        <v>5860725</v>
      </c>
      <c r="J75" s="39">
        <v>5860725</v>
      </c>
      <c r="K75" s="46">
        <v>38884</v>
      </c>
      <c r="L75" s="46">
        <v>40451</v>
      </c>
      <c r="M75" s="38" t="s">
        <v>26</v>
      </c>
      <c r="N75" s="42" t="s">
        <v>27</v>
      </c>
    </row>
    <row r="76" spans="1:14" s="4" customFormat="1" ht="49.5" customHeight="1">
      <c r="A76" s="35">
        <f t="shared" si="3"/>
        <v>74</v>
      </c>
      <c r="B76" s="36" t="s">
        <v>153</v>
      </c>
      <c r="C76" s="36" t="s">
        <v>154</v>
      </c>
      <c r="D76" s="36" t="s">
        <v>157</v>
      </c>
      <c r="E76" s="37">
        <f>723449.59+353122.79+112433.15+134435.75+243087.79</f>
        <v>1566529.0699999998</v>
      </c>
      <c r="F76" s="37">
        <v>0</v>
      </c>
      <c r="G76" s="37">
        <f t="shared" si="2"/>
        <v>1566529.0699999998</v>
      </c>
      <c r="H76" s="38" t="s">
        <v>158</v>
      </c>
      <c r="I76" s="39">
        <v>4900000</v>
      </c>
      <c r="J76" s="39">
        <f>571422.36+2000142.18</f>
        <v>2571564.54</v>
      </c>
      <c r="K76" s="46">
        <v>39447</v>
      </c>
      <c r="L76" s="46">
        <v>40482</v>
      </c>
      <c r="M76" s="38" t="s">
        <v>159</v>
      </c>
      <c r="N76" s="42" t="s">
        <v>27</v>
      </c>
    </row>
    <row r="77" spans="1:14" s="4" customFormat="1" ht="49.5" customHeight="1">
      <c r="A77" s="35">
        <f t="shared" si="3"/>
        <v>75</v>
      </c>
      <c r="B77" s="36" t="s">
        <v>153</v>
      </c>
      <c r="C77" s="36" t="s">
        <v>154</v>
      </c>
      <c r="D77" s="36" t="s">
        <v>160</v>
      </c>
      <c r="E77" s="37">
        <v>0</v>
      </c>
      <c r="F77" s="37">
        <v>0</v>
      </c>
      <c r="G77" s="37">
        <f t="shared" si="2"/>
        <v>0</v>
      </c>
      <c r="H77" s="38" t="s">
        <v>161</v>
      </c>
      <c r="I77" s="39">
        <v>8195570</v>
      </c>
      <c r="J77" s="39">
        <f>827000+110901.25+287371.7</f>
        <v>1225272.95</v>
      </c>
      <c r="K77" s="46">
        <v>39447</v>
      </c>
      <c r="L77" s="46">
        <v>40471</v>
      </c>
      <c r="M77" s="38" t="s">
        <v>159</v>
      </c>
      <c r="N77" s="42" t="s">
        <v>27</v>
      </c>
    </row>
    <row r="78" spans="1:14" s="4" customFormat="1" ht="49.5" customHeight="1">
      <c r="A78" s="35">
        <f t="shared" si="3"/>
        <v>76</v>
      </c>
      <c r="B78" s="36" t="s">
        <v>153</v>
      </c>
      <c r="C78" s="36" t="s">
        <v>162</v>
      </c>
      <c r="D78" s="36" t="s">
        <v>163</v>
      </c>
      <c r="E78" s="37">
        <v>0</v>
      </c>
      <c r="F78" s="37">
        <v>0</v>
      </c>
      <c r="G78" s="37">
        <f t="shared" si="2"/>
        <v>0</v>
      </c>
      <c r="H78" s="38" t="s">
        <v>164</v>
      </c>
      <c r="I78" s="39">
        <v>394200</v>
      </c>
      <c r="J78" s="39">
        <v>394200</v>
      </c>
      <c r="K78" s="46">
        <v>40528</v>
      </c>
      <c r="L78" s="46">
        <v>41455</v>
      </c>
      <c r="M78" s="38" t="s">
        <v>26</v>
      </c>
      <c r="N78" s="42" t="s">
        <v>27</v>
      </c>
    </row>
    <row r="79" spans="1:14" s="4" customFormat="1" ht="49.5" customHeight="1">
      <c r="A79" s="35">
        <f t="shared" si="3"/>
        <v>77</v>
      </c>
      <c r="B79" s="36" t="s">
        <v>153</v>
      </c>
      <c r="C79" s="36" t="s">
        <v>162</v>
      </c>
      <c r="D79" s="36" t="s">
        <v>165</v>
      </c>
      <c r="E79" s="37">
        <v>57311.33</v>
      </c>
      <c r="F79" s="37">
        <v>0</v>
      </c>
      <c r="G79" s="37">
        <f t="shared" si="2"/>
        <v>57311.33</v>
      </c>
      <c r="H79" s="38" t="s">
        <v>166</v>
      </c>
      <c r="I79" s="39">
        <v>255740</v>
      </c>
      <c r="J79" s="39">
        <v>86491.27</v>
      </c>
      <c r="K79" s="46">
        <v>40528</v>
      </c>
      <c r="L79" s="46">
        <v>41455</v>
      </c>
      <c r="M79" s="38" t="s">
        <v>26</v>
      </c>
      <c r="N79" s="42" t="s">
        <v>27</v>
      </c>
    </row>
    <row r="80" spans="1:14" s="4" customFormat="1" ht="49.5" customHeight="1">
      <c r="A80" s="35">
        <f t="shared" si="3"/>
        <v>78</v>
      </c>
      <c r="B80" s="36" t="s">
        <v>153</v>
      </c>
      <c r="C80" s="36" t="s">
        <v>162</v>
      </c>
      <c r="D80" s="36" t="s">
        <v>167</v>
      </c>
      <c r="E80" s="37">
        <v>0</v>
      </c>
      <c r="F80" s="37">
        <v>0</v>
      </c>
      <c r="G80" s="37">
        <f t="shared" si="2"/>
        <v>0</v>
      </c>
      <c r="H80" s="38" t="s">
        <v>168</v>
      </c>
      <c r="I80" s="39">
        <v>295300</v>
      </c>
      <c r="J80" s="39">
        <v>103414.06</v>
      </c>
      <c r="K80" s="46">
        <v>40528</v>
      </c>
      <c r="L80" s="46">
        <v>41455</v>
      </c>
      <c r="M80" s="38" t="s">
        <v>26</v>
      </c>
      <c r="N80" s="42" t="s">
        <v>27</v>
      </c>
    </row>
    <row r="81" spans="1:14" s="4" customFormat="1" ht="49.5" customHeight="1">
      <c r="A81" s="35">
        <f t="shared" si="3"/>
        <v>79</v>
      </c>
      <c r="B81" s="36" t="s">
        <v>153</v>
      </c>
      <c r="C81" s="36" t="s">
        <v>162</v>
      </c>
      <c r="D81" s="36" t="s">
        <v>169</v>
      </c>
      <c r="E81" s="37">
        <v>0</v>
      </c>
      <c r="F81" s="37">
        <v>0</v>
      </c>
      <c r="G81" s="37">
        <f t="shared" si="2"/>
        <v>0</v>
      </c>
      <c r="H81" s="38" t="s">
        <v>170</v>
      </c>
      <c r="I81" s="39">
        <v>245850</v>
      </c>
      <c r="J81" s="39">
        <v>85383.7</v>
      </c>
      <c r="K81" s="46">
        <v>40528</v>
      </c>
      <c r="L81" s="46">
        <v>41455</v>
      </c>
      <c r="M81" s="38" t="s">
        <v>26</v>
      </c>
      <c r="N81" s="42" t="s">
        <v>27</v>
      </c>
    </row>
    <row r="82" spans="1:14" s="4" customFormat="1" ht="49.5" customHeight="1">
      <c r="A82" s="35">
        <f t="shared" si="3"/>
        <v>80</v>
      </c>
      <c r="B82" s="36" t="s">
        <v>153</v>
      </c>
      <c r="C82" s="36" t="s">
        <v>327</v>
      </c>
      <c r="D82" s="36" t="s">
        <v>328</v>
      </c>
      <c r="E82" s="37">
        <v>68883.6</v>
      </c>
      <c r="F82" s="37">
        <v>0</v>
      </c>
      <c r="G82" s="37">
        <f t="shared" si="2"/>
        <v>68883.6</v>
      </c>
      <c r="H82" s="38" t="s">
        <v>329</v>
      </c>
      <c r="I82" s="39">
        <v>145324.06</v>
      </c>
      <c r="J82" s="39">
        <v>0</v>
      </c>
      <c r="K82" s="46">
        <v>40529</v>
      </c>
      <c r="L82" s="46">
        <v>41363</v>
      </c>
      <c r="M82" s="38" t="s">
        <v>26</v>
      </c>
      <c r="N82" s="42" t="s">
        <v>27</v>
      </c>
    </row>
    <row r="83" spans="1:14" s="4" customFormat="1" ht="49.5" customHeight="1">
      <c r="A83" s="35">
        <f t="shared" si="3"/>
        <v>81</v>
      </c>
      <c r="B83" s="36" t="s">
        <v>153</v>
      </c>
      <c r="C83" s="36" t="s">
        <v>304</v>
      </c>
      <c r="D83" s="36" t="s">
        <v>305</v>
      </c>
      <c r="E83" s="37">
        <v>200000</v>
      </c>
      <c r="F83" s="37">
        <v>0</v>
      </c>
      <c r="G83" s="37">
        <f t="shared" si="2"/>
        <v>200000</v>
      </c>
      <c r="H83" s="38" t="s">
        <v>306</v>
      </c>
      <c r="I83" s="39">
        <v>400000</v>
      </c>
      <c r="J83" s="39">
        <v>0</v>
      </c>
      <c r="K83" s="46">
        <v>40529</v>
      </c>
      <c r="L83" s="46">
        <v>41273</v>
      </c>
      <c r="M83" s="38" t="s">
        <v>26</v>
      </c>
      <c r="N83" s="42" t="s">
        <v>27</v>
      </c>
    </row>
    <row r="84" spans="1:14" s="4" customFormat="1" ht="49.5" customHeight="1">
      <c r="A84" s="35">
        <f t="shared" si="3"/>
        <v>82</v>
      </c>
      <c r="B84" s="36" t="s">
        <v>171</v>
      </c>
      <c r="C84" s="36" t="s">
        <v>172</v>
      </c>
      <c r="D84" s="36" t="s">
        <v>173</v>
      </c>
      <c r="E84" s="37">
        <v>0</v>
      </c>
      <c r="F84" s="37">
        <v>0</v>
      </c>
      <c r="G84" s="37">
        <f t="shared" si="2"/>
        <v>0</v>
      </c>
      <c r="H84" s="38" t="s">
        <v>174</v>
      </c>
      <c r="I84" s="39">
        <v>97500</v>
      </c>
      <c r="J84" s="39">
        <v>48750</v>
      </c>
      <c r="K84" s="46">
        <v>40057</v>
      </c>
      <c r="L84" s="46">
        <v>40452</v>
      </c>
      <c r="M84" s="38" t="s">
        <v>26</v>
      </c>
      <c r="N84" s="42" t="s">
        <v>27</v>
      </c>
    </row>
    <row r="85" spans="1:14" s="4" customFormat="1" ht="49.5" customHeight="1">
      <c r="A85" s="35">
        <f t="shared" si="3"/>
        <v>83</v>
      </c>
      <c r="B85" s="36" t="s">
        <v>175</v>
      </c>
      <c r="C85" s="36" t="s">
        <v>176</v>
      </c>
      <c r="D85" s="36" t="s">
        <v>177</v>
      </c>
      <c r="E85" s="37">
        <v>0</v>
      </c>
      <c r="F85" s="37">
        <v>0</v>
      </c>
      <c r="G85" s="37">
        <f t="shared" si="2"/>
        <v>0</v>
      </c>
      <c r="H85" s="38" t="s">
        <v>178</v>
      </c>
      <c r="I85" s="39">
        <v>146250</v>
      </c>
      <c r="J85" s="39">
        <v>146250</v>
      </c>
      <c r="K85" s="46">
        <v>39812</v>
      </c>
      <c r="L85" s="46">
        <v>40663</v>
      </c>
      <c r="M85" s="38" t="s">
        <v>26</v>
      </c>
      <c r="N85" s="42" t="s">
        <v>27</v>
      </c>
    </row>
    <row r="86" spans="1:14" s="4" customFormat="1" ht="49.5" customHeight="1">
      <c r="A86" s="35">
        <f t="shared" si="3"/>
        <v>84</v>
      </c>
      <c r="B86" s="36" t="s">
        <v>175</v>
      </c>
      <c r="C86" s="36" t="s">
        <v>176</v>
      </c>
      <c r="D86" s="36" t="s">
        <v>179</v>
      </c>
      <c r="E86" s="37">
        <v>0</v>
      </c>
      <c r="F86" s="37">
        <v>0</v>
      </c>
      <c r="G86" s="37">
        <f t="shared" si="2"/>
        <v>0</v>
      </c>
      <c r="H86" s="38" t="s">
        <v>180</v>
      </c>
      <c r="I86" s="39">
        <v>254104.34</v>
      </c>
      <c r="J86" s="39">
        <v>254104.34</v>
      </c>
      <c r="K86" s="46">
        <v>40361</v>
      </c>
      <c r="L86" s="46">
        <v>40723</v>
      </c>
      <c r="M86" s="38" t="s">
        <v>26</v>
      </c>
      <c r="N86" s="42" t="s">
        <v>27</v>
      </c>
    </row>
    <row r="87" spans="1:14" s="4" customFormat="1" ht="49.5" customHeight="1">
      <c r="A87" s="35">
        <f t="shared" si="3"/>
        <v>85</v>
      </c>
      <c r="B87" s="36" t="s">
        <v>181</v>
      </c>
      <c r="C87" s="36" t="s">
        <v>182</v>
      </c>
      <c r="D87" s="36" t="s">
        <v>236</v>
      </c>
      <c r="E87" s="37">
        <f>24192.64+24192.64</f>
        <v>48385.28</v>
      </c>
      <c r="F87" s="37">
        <v>0</v>
      </c>
      <c r="G87" s="37">
        <f t="shared" si="2"/>
        <v>48385.28</v>
      </c>
      <c r="H87" s="38" t="s">
        <v>307</v>
      </c>
      <c r="I87" s="39">
        <v>72000</v>
      </c>
      <c r="J87" s="39">
        <v>71997.99</v>
      </c>
      <c r="K87" s="46">
        <v>40544</v>
      </c>
      <c r="L87" s="46" t="s">
        <v>67</v>
      </c>
      <c r="M87" s="38" t="s">
        <v>26</v>
      </c>
      <c r="N87" s="42" t="s">
        <v>27</v>
      </c>
    </row>
    <row r="88" spans="1:14" s="4" customFormat="1" ht="49.5" customHeight="1">
      <c r="A88" s="35">
        <f t="shared" si="3"/>
        <v>86</v>
      </c>
      <c r="B88" s="36" t="s">
        <v>181</v>
      </c>
      <c r="C88" s="36" t="s">
        <v>185</v>
      </c>
      <c r="D88" s="36" t="s">
        <v>237</v>
      </c>
      <c r="E88" s="37">
        <f>25000+25000</f>
        <v>50000</v>
      </c>
      <c r="F88" s="37">
        <v>0</v>
      </c>
      <c r="G88" s="37">
        <f t="shared" si="2"/>
        <v>50000</v>
      </c>
      <c r="H88" s="38" t="s">
        <v>308</v>
      </c>
      <c r="I88" s="39">
        <v>105000</v>
      </c>
      <c r="J88" s="39">
        <v>82954.57</v>
      </c>
      <c r="K88" s="46">
        <v>40544</v>
      </c>
      <c r="L88" s="46" t="s">
        <v>67</v>
      </c>
      <c r="M88" s="38" t="s">
        <v>26</v>
      </c>
      <c r="N88" s="42" t="s">
        <v>27</v>
      </c>
    </row>
    <row r="89" spans="1:14" s="4" customFormat="1" ht="49.5" customHeight="1">
      <c r="A89" s="35">
        <f t="shared" si="3"/>
        <v>87</v>
      </c>
      <c r="B89" s="36" t="s">
        <v>181</v>
      </c>
      <c r="C89" s="36" t="s">
        <v>188</v>
      </c>
      <c r="D89" s="36" t="s">
        <v>189</v>
      </c>
      <c r="E89" s="37">
        <v>500000</v>
      </c>
      <c r="F89" s="37">
        <v>0</v>
      </c>
      <c r="G89" s="37">
        <f t="shared" si="2"/>
        <v>500000</v>
      </c>
      <c r="H89" s="38" t="s">
        <v>309</v>
      </c>
      <c r="I89" s="39">
        <v>2000000</v>
      </c>
      <c r="J89" s="39">
        <f>200000+1300000</f>
        <v>1500000</v>
      </c>
      <c r="K89" s="46">
        <v>40057</v>
      </c>
      <c r="L89" s="46" t="s">
        <v>67</v>
      </c>
      <c r="M89" s="38" t="s">
        <v>26</v>
      </c>
      <c r="N89" s="42" t="s">
        <v>27</v>
      </c>
    </row>
    <row r="90" spans="1:14" s="4" customFormat="1" ht="49.5" customHeight="1">
      <c r="A90" s="35">
        <f t="shared" si="3"/>
        <v>88</v>
      </c>
      <c r="B90" s="36" t="s">
        <v>181</v>
      </c>
      <c r="C90" s="36" t="s">
        <v>191</v>
      </c>
      <c r="D90" s="36" t="s">
        <v>250</v>
      </c>
      <c r="E90" s="37">
        <f>8800+17600+8800+8800+8800+8800+8800+8800+8800</f>
        <v>88000</v>
      </c>
      <c r="F90" s="37">
        <v>0</v>
      </c>
      <c r="G90" s="37">
        <f t="shared" si="2"/>
        <v>88000</v>
      </c>
      <c r="H90" s="38" t="s">
        <v>310</v>
      </c>
      <c r="I90" s="39">
        <v>105600</v>
      </c>
      <c r="J90" s="39">
        <v>88000</v>
      </c>
      <c r="K90" s="46">
        <v>40544</v>
      </c>
      <c r="L90" s="46" t="s">
        <v>67</v>
      </c>
      <c r="M90" s="38" t="s">
        <v>26</v>
      </c>
      <c r="N90" s="42" t="s">
        <v>27</v>
      </c>
    </row>
    <row r="91" spans="1:14" s="4" customFormat="1" ht="49.5" customHeight="1">
      <c r="A91" s="35">
        <f t="shared" si="3"/>
        <v>89</v>
      </c>
      <c r="B91" s="36" t="s">
        <v>181</v>
      </c>
      <c r="C91" s="36" t="s">
        <v>311</v>
      </c>
      <c r="D91" s="36" t="s">
        <v>312</v>
      </c>
      <c r="E91" s="37">
        <f>160000+40000+40000</f>
        <v>240000</v>
      </c>
      <c r="F91" s="37">
        <v>0</v>
      </c>
      <c r="G91" s="37">
        <f t="shared" si="2"/>
        <v>240000</v>
      </c>
      <c r="H91" s="38" t="s">
        <v>310</v>
      </c>
      <c r="I91" s="39">
        <v>480000</v>
      </c>
      <c r="J91" s="39">
        <v>0</v>
      </c>
      <c r="K91" s="46">
        <v>40909</v>
      </c>
      <c r="L91" s="46" t="s">
        <v>67</v>
      </c>
      <c r="M91" s="38" t="s">
        <v>26</v>
      </c>
      <c r="N91" s="42" t="s">
        <v>27</v>
      </c>
    </row>
    <row r="92" spans="1:14" s="4" customFormat="1" ht="49.5" customHeight="1">
      <c r="A92" s="35">
        <f t="shared" si="3"/>
        <v>90</v>
      </c>
      <c r="B92" s="36" t="s">
        <v>181</v>
      </c>
      <c r="C92" s="36" t="s">
        <v>194</v>
      </c>
      <c r="D92" s="36" t="s">
        <v>251</v>
      </c>
      <c r="E92" s="37">
        <f>96652.2+32217.4+32217.4+64434.8+32217.4+32217.4</f>
        <v>289956.6</v>
      </c>
      <c r="F92" s="37">
        <v>0</v>
      </c>
      <c r="G92" s="37">
        <f t="shared" si="2"/>
        <v>289956.6</v>
      </c>
      <c r="H92" s="38" t="s">
        <v>196</v>
      </c>
      <c r="I92" s="39">
        <v>386608.8</v>
      </c>
      <c r="J92" s="39">
        <v>354391.4</v>
      </c>
      <c r="K92" s="46">
        <v>40544</v>
      </c>
      <c r="L92" s="46" t="s">
        <v>67</v>
      </c>
      <c r="M92" s="38" t="s">
        <v>26</v>
      </c>
      <c r="N92" s="42" t="s">
        <v>27</v>
      </c>
    </row>
    <row r="93" spans="1:14" s="4" customFormat="1" ht="49.5" customHeight="1">
      <c r="A93" s="35">
        <f t="shared" si="3"/>
        <v>91</v>
      </c>
      <c r="B93" s="36" t="s">
        <v>181</v>
      </c>
      <c r="C93" s="36" t="s">
        <v>185</v>
      </c>
      <c r="D93" s="36" t="s">
        <v>197</v>
      </c>
      <c r="E93" s="37">
        <v>36000</v>
      </c>
      <c r="F93" s="37">
        <v>0</v>
      </c>
      <c r="G93" s="37">
        <f t="shared" si="2"/>
        <v>36000</v>
      </c>
      <c r="H93" s="38" t="s">
        <v>184</v>
      </c>
      <c r="I93" s="39">
        <v>36000</v>
      </c>
      <c r="J93" s="39">
        <v>0</v>
      </c>
      <c r="K93" s="46">
        <v>40544</v>
      </c>
      <c r="L93" s="46" t="s">
        <v>67</v>
      </c>
      <c r="M93" s="38" t="s">
        <v>26</v>
      </c>
      <c r="N93" s="42" t="s">
        <v>27</v>
      </c>
    </row>
    <row r="94" spans="1:14" s="4" customFormat="1" ht="49.5" customHeight="1">
      <c r="A94" s="35">
        <f t="shared" si="3"/>
        <v>92</v>
      </c>
      <c r="B94" s="36" t="s">
        <v>181</v>
      </c>
      <c r="C94" s="36" t="s">
        <v>185</v>
      </c>
      <c r="D94" s="36" t="s">
        <v>198</v>
      </c>
      <c r="E94" s="37">
        <f>4407.62+71493.36+72156.88+23104.62</f>
        <v>171162.47999999998</v>
      </c>
      <c r="F94" s="37">
        <v>0</v>
      </c>
      <c r="G94" s="37">
        <f t="shared" si="2"/>
        <v>171162.47999999998</v>
      </c>
      <c r="H94" s="44" t="s">
        <v>184</v>
      </c>
      <c r="I94" s="45">
        <v>245000</v>
      </c>
      <c r="J94" s="45">
        <v>237337.58</v>
      </c>
      <c r="K94" s="46">
        <v>40544</v>
      </c>
      <c r="L94" s="46" t="s">
        <v>67</v>
      </c>
      <c r="M94" s="46" t="s">
        <v>26</v>
      </c>
      <c r="N94" s="42" t="s">
        <v>27</v>
      </c>
    </row>
    <row r="95" spans="1:14" s="4" customFormat="1" ht="49.5" customHeight="1">
      <c r="A95" s="35">
        <f t="shared" si="3"/>
        <v>93</v>
      </c>
      <c r="B95" s="36" t="s">
        <v>181</v>
      </c>
      <c r="C95" s="36" t="s">
        <v>199</v>
      </c>
      <c r="D95" s="36" t="s">
        <v>200</v>
      </c>
      <c r="E95" s="37">
        <v>0</v>
      </c>
      <c r="F95" s="37">
        <v>0</v>
      </c>
      <c r="G95" s="37">
        <f t="shared" si="2"/>
        <v>0</v>
      </c>
      <c r="H95" s="44" t="s">
        <v>201</v>
      </c>
      <c r="I95" s="45">
        <v>95000</v>
      </c>
      <c r="J95" s="45">
        <v>95000</v>
      </c>
      <c r="K95" s="46">
        <v>40483</v>
      </c>
      <c r="L95" s="46" t="s">
        <v>67</v>
      </c>
      <c r="M95" s="46" t="s">
        <v>26</v>
      </c>
      <c r="N95" s="42" t="s">
        <v>27</v>
      </c>
    </row>
    <row r="96" spans="1:14" s="4" customFormat="1" ht="49.5" customHeight="1">
      <c r="A96" s="35">
        <f t="shared" si="3"/>
        <v>94</v>
      </c>
      <c r="B96" s="36" t="s">
        <v>181</v>
      </c>
      <c r="C96" s="36" t="s">
        <v>199</v>
      </c>
      <c r="D96" s="36" t="s">
        <v>202</v>
      </c>
      <c r="E96" s="37">
        <v>0</v>
      </c>
      <c r="F96" s="37">
        <v>0</v>
      </c>
      <c r="G96" s="37">
        <f t="shared" si="2"/>
        <v>0</v>
      </c>
      <c r="H96" s="44" t="s">
        <v>201</v>
      </c>
      <c r="I96" s="45">
        <v>30000</v>
      </c>
      <c r="J96" s="45">
        <v>30000</v>
      </c>
      <c r="K96" s="46">
        <v>40483</v>
      </c>
      <c r="L96" s="46" t="s">
        <v>67</v>
      </c>
      <c r="M96" s="46" t="s">
        <v>26</v>
      </c>
      <c r="N96" s="42" t="s">
        <v>27</v>
      </c>
    </row>
    <row r="97" spans="1:14" s="4" customFormat="1" ht="49.5" customHeight="1">
      <c r="A97" s="35">
        <f t="shared" si="3"/>
        <v>95</v>
      </c>
      <c r="B97" s="36" t="s">
        <v>181</v>
      </c>
      <c r="C97" s="36" t="s">
        <v>199</v>
      </c>
      <c r="D97" s="36" t="s">
        <v>203</v>
      </c>
      <c r="E97" s="37">
        <v>1950</v>
      </c>
      <c r="F97" s="37">
        <v>0</v>
      </c>
      <c r="G97" s="37">
        <f t="shared" si="2"/>
        <v>1950</v>
      </c>
      <c r="H97" s="44" t="s">
        <v>201</v>
      </c>
      <c r="I97" s="45">
        <v>1950</v>
      </c>
      <c r="J97" s="45">
        <v>0</v>
      </c>
      <c r="K97" s="46">
        <v>40878</v>
      </c>
      <c r="L97" s="46" t="s">
        <v>67</v>
      </c>
      <c r="M97" s="46" t="s">
        <v>26</v>
      </c>
      <c r="N97" s="42" t="s">
        <v>27</v>
      </c>
    </row>
    <row r="98" spans="1:14" s="4" customFormat="1" ht="49.5" customHeight="1">
      <c r="A98" s="35">
        <f t="shared" si="3"/>
        <v>96</v>
      </c>
      <c r="B98" s="36" t="s">
        <v>181</v>
      </c>
      <c r="C98" s="36" t="s">
        <v>204</v>
      </c>
      <c r="D98" s="36" t="s">
        <v>205</v>
      </c>
      <c r="E98" s="37">
        <v>0</v>
      </c>
      <c r="F98" s="37">
        <v>0</v>
      </c>
      <c r="G98" s="37">
        <f t="shared" si="2"/>
        <v>0</v>
      </c>
      <c r="H98" s="44" t="s">
        <v>206</v>
      </c>
      <c r="I98" s="45">
        <v>266666.7</v>
      </c>
      <c r="J98" s="37">
        <v>26666.67</v>
      </c>
      <c r="K98" s="46">
        <v>40544</v>
      </c>
      <c r="L98" s="46" t="s">
        <v>67</v>
      </c>
      <c r="M98" s="46" t="s">
        <v>26</v>
      </c>
      <c r="N98" s="42" t="s">
        <v>27</v>
      </c>
    </row>
    <row r="99" spans="1:14" s="4" customFormat="1" ht="49.5" customHeight="1">
      <c r="A99" s="35">
        <f t="shared" si="3"/>
        <v>97</v>
      </c>
      <c r="B99" s="36" t="s">
        <v>181</v>
      </c>
      <c r="C99" s="36" t="s">
        <v>204</v>
      </c>
      <c r="D99" s="36" t="s">
        <v>207</v>
      </c>
      <c r="E99" s="37">
        <v>0</v>
      </c>
      <c r="F99" s="37">
        <v>0</v>
      </c>
      <c r="G99" s="37">
        <f t="shared" si="2"/>
        <v>0</v>
      </c>
      <c r="H99" s="44" t="s">
        <v>208</v>
      </c>
      <c r="I99" s="45">
        <v>200000</v>
      </c>
      <c r="J99" s="37">
        <v>20000</v>
      </c>
      <c r="K99" s="46">
        <v>40544</v>
      </c>
      <c r="L99" s="46" t="s">
        <v>67</v>
      </c>
      <c r="M99" s="46" t="s">
        <v>26</v>
      </c>
      <c r="N99" s="42" t="s">
        <v>27</v>
      </c>
    </row>
    <row r="100" spans="1:14" s="4" customFormat="1" ht="49.5" customHeight="1">
      <c r="A100" s="35">
        <f t="shared" si="3"/>
        <v>98</v>
      </c>
      <c r="B100" s="36" t="s">
        <v>181</v>
      </c>
      <c r="C100" s="36" t="s">
        <v>204</v>
      </c>
      <c r="D100" s="36" t="s">
        <v>209</v>
      </c>
      <c r="E100" s="37">
        <v>0</v>
      </c>
      <c r="F100" s="37">
        <v>0</v>
      </c>
      <c r="G100" s="37">
        <f t="shared" si="2"/>
        <v>0</v>
      </c>
      <c r="H100" s="44" t="s">
        <v>210</v>
      </c>
      <c r="I100" s="45">
        <v>400000</v>
      </c>
      <c r="J100" s="37">
        <v>40000</v>
      </c>
      <c r="K100" s="46">
        <v>40544</v>
      </c>
      <c r="L100" s="46" t="s">
        <v>67</v>
      </c>
      <c r="M100" s="46" t="s">
        <v>26</v>
      </c>
      <c r="N100" s="42" t="s">
        <v>27</v>
      </c>
    </row>
    <row r="101" spans="1:14" s="4" customFormat="1" ht="49.5" customHeight="1">
      <c r="A101" s="35">
        <f t="shared" si="3"/>
        <v>99</v>
      </c>
      <c r="B101" s="36" t="s">
        <v>181</v>
      </c>
      <c r="C101" s="36" t="s">
        <v>204</v>
      </c>
      <c r="D101" s="36" t="s">
        <v>211</v>
      </c>
      <c r="E101" s="37">
        <v>0</v>
      </c>
      <c r="F101" s="37">
        <v>0</v>
      </c>
      <c r="G101" s="37">
        <f t="shared" si="2"/>
        <v>0</v>
      </c>
      <c r="H101" s="44" t="s">
        <v>212</v>
      </c>
      <c r="I101" s="45">
        <v>200000</v>
      </c>
      <c r="J101" s="37">
        <v>20000</v>
      </c>
      <c r="K101" s="46">
        <v>40544</v>
      </c>
      <c r="L101" s="46" t="s">
        <v>67</v>
      </c>
      <c r="M101" s="46" t="s">
        <v>26</v>
      </c>
      <c r="N101" s="42" t="s">
        <v>27</v>
      </c>
    </row>
    <row r="102" spans="1:14" s="4" customFormat="1" ht="49.5" customHeight="1">
      <c r="A102" s="35">
        <f t="shared" si="3"/>
        <v>100</v>
      </c>
      <c r="B102" s="36" t="s">
        <v>181</v>
      </c>
      <c r="C102" s="36" t="s">
        <v>204</v>
      </c>
      <c r="D102" s="36" t="s">
        <v>213</v>
      </c>
      <c r="E102" s="37">
        <v>0</v>
      </c>
      <c r="F102" s="37">
        <v>0</v>
      </c>
      <c r="G102" s="37">
        <f t="shared" si="2"/>
        <v>0</v>
      </c>
      <c r="H102" s="44" t="s">
        <v>214</v>
      </c>
      <c r="I102" s="45">
        <v>200000</v>
      </c>
      <c r="J102" s="37">
        <v>20000</v>
      </c>
      <c r="K102" s="46">
        <v>40544</v>
      </c>
      <c r="L102" s="46" t="s">
        <v>67</v>
      </c>
      <c r="M102" s="46" t="s">
        <v>26</v>
      </c>
      <c r="N102" s="42" t="s">
        <v>27</v>
      </c>
    </row>
    <row r="103" spans="1:14" s="4" customFormat="1" ht="49.5" customHeight="1">
      <c r="A103" s="35">
        <f t="shared" si="3"/>
        <v>101</v>
      </c>
      <c r="B103" s="36" t="s">
        <v>181</v>
      </c>
      <c r="C103" s="36" t="s">
        <v>252</v>
      </c>
      <c r="D103" s="36" t="s">
        <v>253</v>
      </c>
      <c r="E103" s="37">
        <v>36000</v>
      </c>
      <c r="F103" s="37">
        <v>0</v>
      </c>
      <c r="G103" s="37">
        <f t="shared" si="2"/>
        <v>36000</v>
      </c>
      <c r="H103" s="44" t="s">
        <v>254</v>
      </c>
      <c r="I103" s="45">
        <v>180000</v>
      </c>
      <c r="J103" s="37">
        <v>0</v>
      </c>
      <c r="K103" s="46">
        <v>40909</v>
      </c>
      <c r="L103" s="46" t="s">
        <v>67</v>
      </c>
      <c r="M103" s="46" t="s">
        <v>26</v>
      </c>
      <c r="N103" s="42" t="s">
        <v>27</v>
      </c>
    </row>
    <row r="104" spans="1:14" s="4" customFormat="1" ht="49.5" customHeight="1">
      <c r="A104" s="35">
        <f t="shared" si="3"/>
        <v>102</v>
      </c>
      <c r="B104" s="36" t="s">
        <v>181</v>
      </c>
      <c r="C104" s="36" t="s">
        <v>286</v>
      </c>
      <c r="D104" s="36" t="s">
        <v>287</v>
      </c>
      <c r="E104" s="37">
        <v>14070</v>
      </c>
      <c r="F104" s="37">
        <v>0</v>
      </c>
      <c r="G104" s="37">
        <f t="shared" si="2"/>
        <v>14070</v>
      </c>
      <c r="H104" s="44" t="s">
        <v>288</v>
      </c>
      <c r="I104" s="45">
        <v>70350</v>
      </c>
      <c r="J104" s="37">
        <v>0</v>
      </c>
      <c r="K104" s="46">
        <v>41085</v>
      </c>
      <c r="L104" s="46">
        <v>41639</v>
      </c>
      <c r="M104" s="46" t="s">
        <v>26</v>
      </c>
      <c r="N104" s="42" t="s">
        <v>27</v>
      </c>
    </row>
    <row r="105" spans="1:14" s="4" customFormat="1" ht="49.5" customHeight="1" thickBot="1">
      <c r="A105" s="48">
        <f t="shared" si="3"/>
        <v>103</v>
      </c>
      <c r="B105" s="49" t="s">
        <v>181</v>
      </c>
      <c r="C105" s="49" t="s">
        <v>286</v>
      </c>
      <c r="D105" s="49" t="s">
        <v>289</v>
      </c>
      <c r="E105" s="50">
        <v>25905</v>
      </c>
      <c r="F105" s="50">
        <v>0</v>
      </c>
      <c r="G105" s="50">
        <f t="shared" si="2"/>
        <v>25905</v>
      </c>
      <c r="H105" s="51" t="s">
        <v>290</v>
      </c>
      <c r="I105" s="52">
        <v>129525</v>
      </c>
      <c r="J105" s="50">
        <v>0</v>
      </c>
      <c r="K105" s="55">
        <v>41085</v>
      </c>
      <c r="L105" s="55">
        <v>41639</v>
      </c>
      <c r="M105" s="55" t="s">
        <v>26</v>
      </c>
      <c r="N105" s="56" t="s">
        <v>27</v>
      </c>
    </row>
    <row r="106" spans="1:14" s="4" customFormat="1" ht="49.5" customHeight="1" thickBot="1" thickTop="1">
      <c r="A106" s="9"/>
      <c r="B106" s="10"/>
      <c r="C106" s="10"/>
      <c r="D106" s="71" t="s">
        <v>215</v>
      </c>
      <c r="E106" s="72">
        <f>SUM(E3:E105)</f>
        <v>12914725.87</v>
      </c>
      <c r="F106" s="72">
        <f>SUM(F3:F105)</f>
        <v>0</v>
      </c>
      <c r="G106" s="73">
        <f>SUM(G3:G105)</f>
        <v>12914725.87</v>
      </c>
      <c r="H106" s="10"/>
      <c r="I106" s="10"/>
      <c r="J106" s="10"/>
      <c r="K106" s="10"/>
      <c r="L106" s="11"/>
      <c r="M106" s="10"/>
      <c r="N106" s="12"/>
    </row>
    <row r="107" ht="13.5" thickTop="1"/>
    <row r="108" spans="1:14" s="15" customFormat="1" ht="12.75">
      <c r="A108" s="13"/>
      <c r="B108" s="14"/>
      <c r="C108" s="14"/>
      <c r="D108" s="25" t="s">
        <v>330</v>
      </c>
      <c r="E108" s="25"/>
      <c r="F108" s="25"/>
      <c r="G108" s="25"/>
      <c r="K108" s="14"/>
      <c r="L108" s="16"/>
      <c r="M108" s="14"/>
      <c r="N108" s="17"/>
    </row>
    <row r="109" spans="2:13" s="15" customFormat="1" ht="12.75">
      <c r="B109" s="22"/>
      <c r="C109" s="22"/>
      <c r="E109" s="22"/>
      <c r="F109" s="22"/>
      <c r="G109" s="22"/>
      <c r="K109" s="22"/>
      <c r="L109" s="22"/>
      <c r="M109" s="22"/>
    </row>
    <row r="110" spans="1:14" s="15" customFormat="1" ht="12.75">
      <c r="A110" s="20"/>
      <c r="B110" s="24" t="s">
        <v>221</v>
      </c>
      <c r="C110" s="24"/>
      <c r="E110" s="23" t="s">
        <v>222</v>
      </c>
      <c r="F110" s="23"/>
      <c r="G110" s="23"/>
      <c r="K110" s="23" t="s">
        <v>223</v>
      </c>
      <c r="L110" s="23"/>
      <c r="M110" s="23"/>
      <c r="N110" s="19"/>
    </row>
    <row r="111" spans="1:14" s="15" customFormat="1" ht="12.75">
      <c r="A111" s="21"/>
      <c r="B111" s="18" t="s">
        <v>224</v>
      </c>
      <c r="C111" s="18"/>
      <c r="E111" s="18" t="s">
        <v>225</v>
      </c>
      <c r="F111" s="18"/>
      <c r="G111" s="18"/>
      <c r="K111" s="18" t="s">
        <v>226</v>
      </c>
      <c r="L111" s="18"/>
      <c r="M111" s="18"/>
      <c r="N111" s="19"/>
    </row>
  </sheetData>
  <sheetProtection selectLockedCells="1" selectUnlockedCells="1"/>
  <mergeCells count="11">
    <mergeCell ref="B111:C111"/>
    <mergeCell ref="E111:G111"/>
    <mergeCell ref="K111:M111"/>
    <mergeCell ref="A1:N1"/>
    <mergeCell ref="D108:G108"/>
    <mergeCell ref="B109:C109"/>
    <mergeCell ref="E109:G109"/>
    <mergeCell ref="K109:M109"/>
    <mergeCell ref="B110:C110"/>
    <mergeCell ref="E110:G110"/>
    <mergeCell ref="K110:M110"/>
  </mergeCells>
  <printOptions horizontalCentered="1"/>
  <pageMargins left="0" right="0" top="0.5905511811023623" bottom="0.3937007874015748" header="0.1968503937007874" footer="0.1968503937007874"/>
  <pageSetup firstPageNumber="1" useFirstPageNumber="1" fitToHeight="7" fitToWidth="1" horizontalDpi="300" verticalDpi="300" orientation="landscape" paperSize="9" scale="62" r:id="rId1"/>
  <headerFooter alignWithMargins="0">
    <oddFooter>&amp;CPágina &amp;P de &amp;N</oddFooter>
  </headerFooter>
  <rowBreaks count="3" manualBreakCount="3">
    <brk id="35" max="13" man="1"/>
    <brk id="50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2013-10-10T14:05:46Z</cp:lastPrinted>
  <dcterms:created xsi:type="dcterms:W3CDTF">2013-10-08T19:33:51Z</dcterms:created>
  <dcterms:modified xsi:type="dcterms:W3CDTF">2013-10-10T14:06:16Z</dcterms:modified>
  <cp:category/>
  <cp:version/>
  <cp:contentType/>
  <cp:contentStatus/>
</cp:coreProperties>
</file>